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5" windowWidth="15195" windowHeight="8670" activeTab="0"/>
  </bookViews>
  <sheets>
    <sheet name="Intro" sheetId="1" r:id="rId1"/>
    <sheet name="MAIN" sheetId="2" r:id="rId2"/>
    <sheet name="PLOT" sheetId="3" r:id="rId3"/>
    <sheet name="Graphs" sheetId="4" r:id="rId4"/>
    <sheet name="OUTPUT_PAR" sheetId="5" r:id="rId5"/>
    <sheet name="CALS" sheetId="6" state="hidden" r:id="rId6"/>
    <sheet name="PlotTable" sheetId="7" state="hidden" r:id="rId7"/>
    <sheet name="Help" sheetId="8" r:id="rId8"/>
  </sheets>
  <definedNames/>
  <calcPr fullCalcOnLoad="1"/>
</workbook>
</file>

<file path=xl/sharedStrings.xml><?xml version="1.0" encoding="utf-8"?>
<sst xmlns="http://schemas.openxmlformats.org/spreadsheetml/2006/main" count="130" uniqueCount="125">
  <si>
    <t>Pile geometry</t>
  </si>
  <si>
    <t>Load</t>
  </si>
  <si>
    <t>Layer</t>
  </si>
  <si>
    <t>Depth to the 
layer H (m)</t>
  </si>
  <si>
    <t>H (m)</t>
  </si>
  <si>
    <t>Soil layers</t>
  </si>
  <si>
    <t>Output</t>
  </si>
  <si>
    <t>Lp (m)</t>
  </si>
  <si>
    <t>N</t>
  </si>
  <si>
    <r>
      <t>N</t>
    </r>
    <r>
      <rPr>
        <vertAlign val="subscript"/>
        <sz val="10"/>
        <rFont val="Arial"/>
        <family val="2"/>
      </rPr>
      <t>L</t>
    </r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</si>
  <si>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</si>
  <si>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p</t>
    </r>
  </si>
  <si>
    <r>
      <t>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</si>
  <si>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</si>
  <si>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Ep (Pa)</t>
  </si>
  <si>
    <t>Qt (N)</t>
  </si>
  <si>
    <r>
      <t>n</t>
    </r>
    <r>
      <rPr>
        <b/>
        <vertAlign val="subscript"/>
        <sz val="10"/>
        <rFont val="Arial"/>
        <family val="2"/>
      </rPr>
      <t>s</t>
    </r>
  </si>
  <si>
    <r>
      <t>G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</si>
  <si>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</si>
  <si>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</si>
  <si>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k (Pa)</t>
  </si>
  <si>
    <t>t (N)</t>
  </si>
  <si>
    <t>E (Pa)</t>
  </si>
  <si>
    <t>a (N/m)</t>
  </si>
  <si>
    <r>
      <t>n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 xml:space="preserve"> (kN/m)</t>
    </r>
  </si>
  <si>
    <r>
      <t>m</t>
    </r>
    <r>
      <rPr>
        <b/>
        <vertAlign val="subscript"/>
        <sz val="10"/>
        <rFont val="Arial"/>
        <family val="2"/>
      </rPr>
      <t xml:space="preserve">si </t>
    </r>
    <r>
      <rPr>
        <b/>
        <sz val="10"/>
        <rFont val="Arial"/>
        <family val="2"/>
      </rPr>
      <t>(kNm)</t>
    </r>
  </si>
  <si>
    <t>Area</t>
  </si>
  <si>
    <t>M21</t>
  </si>
  <si>
    <r>
      <t>M</t>
    </r>
    <r>
      <rPr>
        <b/>
        <vertAlign val="subscript"/>
        <sz val="10"/>
        <rFont val="Arial"/>
        <family val="2"/>
      </rPr>
      <t>2i</t>
    </r>
  </si>
  <si>
    <r>
      <t>M</t>
    </r>
    <r>
      <rPr>
        <b/>
        <vertAlign val="subscript"/>
        <sz val="10"/>
        <rFont val="Arial"/>
        <family val="2"/>
      </rPr>
      <t>2i-1</t>
    </r>
  </si>
  <si>
    <t>idx (2i-1)</t>
  </si>
  <si>
    <t>idx (2i)</t>
  </si>
  <si>
    <t>M11</t>
  </si>
  <si>
    <t>M12</t>
  </si>
  <si>
    <t>M22</t>
  </si>
  <si>
    <r>
      <t>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</si>
  <si>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i</t>
    </r>
  </si>
  <si>
    <t>ShrMod_OP</t>
  </si>
  <si>
    <t>SUM =</t>
  </si>
  <si>
    <t>z</t>
  </si>
  <si>
    <r>
      <t>D</t>
    </r>
    <r>
      <rPr>
        <sz val="10"/>
        <rFont val="Arial"/>
        <family val="2"/>
      </rPr>
      <t>z</t>
    </r>
  </si>
  <si>
    <t>NB</t>
  </si>
  <si>
    <t>NL</t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</si>
  <si>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</si>
  <si>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r</t>
    </r>
  </si>
  <si>
    <r>
      <t>D</t>
    </r>
    <r>
      <rPr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</si>
  <si>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i</t>
    </r>
  </si>
  <si>
    <r>
      <t>B</t>
    </r>
    <r>
      <rPr>
        <vertAlign val="subscript"/>
        <sz val="10"/>
        <rFont val="Arial"/>
        <family val="2"/>
      </rPr>
      <t>i</t>
    </r>
  </si>
  <si>
    <r>
      <t>C</t>
    </r>
    <r>
      <rPr>
        <vertAlign val="subscript"/>
        <sz val="10"/>
        <rFont val="Arial"/>
        <family val="2"/>
      </rPr>
      <t>i</t>
    </r>
  </si>
  <si>
    <t>z (m)</t>
  </si>
  <si>
    <t>Q(z) (kN)</t>
  </si>
  <si>
    <t>r(m)</t>
  </si>
  <si>
    <t>uz(r,z=Lp)</t>
  </si>
  <si>
    <t>idx</t>
  </si>
  <si>
    <r>
      <t>D</t>
    </r>
    <r>
      <rPr>
        <sz val="10"/>
        <rFont val="Arial"/>
        <family val="2"/>
      </rPr>
      <t>r_ratio</t>
    </r>
  </si>
  <si>
    <t>Qb (kN)</t>
  </si>
  <si>
    <t>wt (mm)</t>
  </si>
  <si>
    <t>wb (mm)</t>
  </si>
  <si>
    <t>pile geom.</t>
  </si>
  <si>
    <t>r</t>
  </si>
  <si>
    <t>Lp</t>
  </si>
  <si>
    <t>z_ini</t>
  </si>
  <si>
    <t>r_ini</t>
  </si>
  <si>
    <t>z_final</t>
  </si>
  <si>
    <t>r_final</t>
  </si>
  <si>
    <t>uz(r,z=0)</t>
  </si>
  <si>
    <t>config</t>
  </si>
  <si>
    <t>plot scale factor</t>
  </si>
  <si>
    <t>Layer Info</t>
  </si>
  <si>
    <t>Developed by Hoyoung Seo</t>
  </si>
  <si>
    <t>Advisor: Prof. Monica Prezzi</t>
  </si>
  <si>
    <t>Ver 1.0</t>
  </si>
  <si>
    <t>ALPAXL</t>
  </si>
  <si>
    <r>
      <t>Pile length L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(m)</t>
    </r>
  </si>
  <si>
    <r>
      <t>Young's modulus of
the pile E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(GPa)</t>
    </r>
  </si>
  <si>
    <t>Number of soil layers
within the pile</t>
  </si>
  <si>
    <t>Number of soil layers
below the pile base</t>
  </si>
  <si>
    <r>
      <t>Load at the 
pile head Q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(kN)</t>
    </r>
  </si>
  <si>
    <r>
      <t>Head settlement
w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(mm)</t>
    </r>
  </si>
  <si>
    <r>
      <t>Base settlement
w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(mm)</t>
    </r>
  </si>
  <si>
    <r>
      <t>Base load
Q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(kN)</t>
    </r>
  </si>
  <si>
    <r>
      <t xml:space="preserve">z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</si>
  <si>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z</t>
    </r>
    <r>
      <rPr>
        <vertAlign val="subscript"/>
        <sz val="10"/>
        <rFont val="Arial"/>
        <family val="2"/>
      </rPr>
      <t>i</t>
    </r>
  </si>
  <si>
    <t>Layer</t>
  </si>
  <si>
    <r>
      <t>H</t>
    </r>
    <r>
      <rPr>
        <i/>
        <vertAlign val="subscript"/>
        <sz val="10"/>
        <rFont val="Arial"/>
        <family val="2"/>
      </rPr>
      <t xml:space="preserve">i </t>
    </r>
    <r>
      <rPr>
        <i/>
        <sz val="10"/>
        <rFont val="Arial"/>
        <family val="2"/>
      </rPr>
      <t>(m)</t>
    </r>
  </si>
  <si>
    <r>
      <t>k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(Pa)</t>
    </r>
  </si>
  <si>
    <r>
      <t>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(N)</t>
    </r>
  </si>
  <si>
    <r>
      <t>z</t>
    </r>
    <r>
      <rPr>
        <i/>
        <vertAlign val="subscript"/>
        <sz val="10"/>
        <rFont val="Arial"/>
        <family val="2"/>
      </rPr>
      <t>i (</t>
    </r>
    <r>
      <rPr>
        <i/>
        <sz val="10"/>
        <rFont val="Arial"/>
        <family val="2"/>
      </rPr>
      <t>m</t>
    </r>
    <r>
      <rPr>
        <i/>
        <vertAlign val="superscript"/>
        <sz val="10"/>
        <rFont val="Arial"/>
        <family val="2"/>
      </rPr>
      <t>-1</t>
    </r>
    <r>
      <rPr>
        <i/>
        <vertAlign val="subscript"/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</si>
  <si>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(N/m)</t>
    </r>
  </si>
  <si>
    <r>
      <t>B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</si>
  <si>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C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</si>
  <si>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m</t>
    </r>
    <r>
      <rPr>
        <i/>
        <vertAlign val="subscript"/>
        <sz val="10"/>
        <rFont val="Arial"/>
        <family val="2"/>
      </rPr>
      <t xml:space="preserve">si </t>
    </r>
    <r>
      <rPr>
        <i/>
        <sz val="10"/>
        <rFont val="Arial"/>
        <family val="2"/>
      </rPr>
      <t>(Nm)</t>
    </r>
  </si>
  <si>
    <r>
      <t>n</t>
    </r>
    <r>
      <rPr>
        <i/>
        <vertAlign val="subscript"/>
        <sz val="10"/>
        <rFont val="Arial"/>
        <family val="2"/>
      </rPr>
      <t>si</t>
    </r>
    <r>
      <rPr>
        <i/>
        <sz val="10"/>
        <rFont val="Arial"/>
        <family val="2"/>
      </rPr>
      <t xml:space="preserve"> (N/m)</t>
    </r>
  </si>
  <si>
    <t>u(z) (mm)</t>
  </si>
  <si>
    <t>Rectangular pile</t>
  </si>
  <si>
    <r>
      <t>Pile diameter B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 (m)</t>
    </r>
  </si>
  <si>
    <r>
      <t>Pile diameter B</t>
    </r>
    <r>
      <rPr>
        <b/>
        <i/>
        <vertAlign val="subscript"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(m)</t>
    </r>
  </si>
  <si>
    <r>
      <t>g</t>
    </r>
    <r>
      <rPr>
        <b/>
        <i/>
        <vertAlign val="subscript"/>
        <sz val="10"/>
        <rFont val="Arial"/>
        <family val="2"/>
      </rPr>
      <t>x</t>
    </r>
  </si>
  <si>
    <r>
      <t>g</t>
    </r>
    <r>
      <rPr>
        <b/>
        <i/>
        <vertAlign val="subscript"/>
        <sz val="10"/>
        <rFont val="Arial"/>
        <family val="2"/>
      </rPr>
      <t>y</t>
    </r>
  </si>
  <si>
    <t>Bx (m)</t>
  </si>
  <si>
    <t>By (m)</t>
  </si>
  <si>
    <r>
      <t>g</t>
    </r>
    <r>
      <rPr>
        <vertAlign val="subscript"/>
        <sz val="10"/>
        <rFont val="Arial"/>
        <family val="2"/>
      </rPr>
      <t>x_NEW</t>
    </r>
  </si>
  <si>
    <r>
      <t>g</t>
    </r>
    <r>
      <rPr>
        <vertAlign val="subscript"/>
        <sz val="10"/>
        <rFont val="Arial"/>
        <family val="2"/>
      </rPr>
      <t>y_old</t>
    </r>
  </si>
  <si>
    <r>
      <t>g</t>
    </r>
    <r>
      <rPr>
        <vertAlign val="subscript"/>
        <sz val="10"/>
        <rFont val="Arial"/>
        <family val="2"/>
      </rPr>
      <t>y_NEW</t>
    </r>
  </si>
  <si>
    <r>
      <t>g</t>
    </r>
    <r>
      <rPr>
        <vertAlign val="subscript"/>
        <sz val="10"/>
        <rFont val="Arial"/>
        <family val="2"/>
      </rPr>
      <t>x_old</t>
    </r>
  </si>
  <si>
    <r>
      <t>g</t>
    </r>
    <r>
      <rPr>
        <vertAlign val="subscript"/>
        <sz val="10"/>
        <rFont val="Times New Roman"/>
        <family val="1"/>
      </rPr>
      <t>x</t>
    </r>
    <r>
      <rPr>
        <vertAlign val="subscript"/>
        <sz val="10"/>
        <rFont val="Arial"/>
        <family val="2"/>
      </rPr>
      <t>_error</t>
    </r>
  </si>
  <si>
    <r>
      <t>g</t>
    </r>
    <r>
      <rPr>
        <vertAlign val="subscript"/>
        <sz val="10"/>
        <rFont val="Times New Roman"/>
        <family val="1"/>
      </rPr>
      <t>y</t>
    </r>
    <r>
      <rPr>
        <vertAlign val="subscript"/>
        <sz val="10"/>
        <rFont val="Arial"/>
        <family val="2"/>
      </rPr>
      <t>_error</t>
    </r>
  </si>
  <si>
    <t>x(m)</t>
  </si>
  <si>
    <t>phi(x)</t>
  </si>
  <si>
    <t>uz(x,y,z=0)</t>
  </si>
  <si>
    <t>uz(x,y,z=Lp)</t>
  </si>
  <si>
    <t>Bx</t>
  </si>
  <si>
    <t>By</t>
  </si>
  <si>
    <r>
      <t>g</t>
    </r>
    <r>
      <rPr>
        <i/>
        <vertAlign val="subscript"/>
        <sz val="10"/>
        <rFont val="Arial"/>
        <family val="2"/>
      </rPr>
      <t>x</t>
    </r>
  </si>
  <si>
    <r>
      <t>g</t>
    </r>
    <r>
      <rPr>
        <i/>
        <vertAlign val="subscript"/>
        <sz val="10"/>
        <rFont val="Arial"/>
        <family val="2"/>
      </rPr>
      <t>y</t>
    </r>
  </si>
  <si>
    <t>iterations</t>
  </si>
  <si>
    <r>
      <t>Young's modulus
of the soil E</t>
    </r>
    <r>
      <rPr>
        <b/>
        <i/>
        <vertAlign val="subscript"/>
        <sz val="10"/>
        <rFont val="Arial"/>
        <family val="2"/>
      </rPr>
      <t>s</t>
    </r>
    <r>
      <rPr>
        <b/>
        <i/>
        <sz val="10"/>
        <rFont val="Arial"/>
        <family val="2"/>
      </rPr>
      <t xml:space="preserve"> (MPa)</t>
    </r>
  </si>
  <si>
    <r>
      <t xml:space="preserve">Poisson's ratio
of the soil </t>
    </r>
    <r>
      <rPr>
        <b/>
        <i/>
        <sz val="10"/>
        <rFont val="Symbol"/>
        <family val="1"/>
      </rPr>
      <t>n</t>
    </r>
    <r>
      <rPr>
        <b/>
        <i/>
        <vertAlign val="subscript"/>
        <sz val="10"/>
        <rFont val="Arial"/>
        <family val="2"/>
      </rPr>
      <t>s</t>
    </r>
  </si>
  <si>
    <r>
      <t xml:space="preserve">1. On the </t>
    </r>
    <r>
      <rPr>
        <b/>
        <sz val="12"/>
        <rFont val="Times New Roman"/>
        <family val="1"/>
      </rPr>
      <t>Tools</t>
    </r>
    <r>
      <rPr>
        <sz val="12"/>
        <rFont val="Times New Roman"/>
        <family val="1"/>
      </rPr>
      <t xml:space="preserve"> menu, click </t>
    </r>
    <r>
      <rPr>
        <b/>
        <sz val="12"/>
        <rFont val="Times New Roman"/>
        <family val="1"/>
      </rPr>
      <t>Add-Ins</t>
    </r>
    <r>
      <rPr>
        <sz val="12"/>
        <rFont val="Times New Roman"/>
        <family val="1"/>
      </rPr>
      <t xml:space="preserve">. </t>
    </r>
  </si>
  <si>
    <r>
      <t xml:space="preserve">2. In the </t>
    </r>
    <r>
      <rPr>
        <b/>
        <sz val="12"/>
        <rFont val="Times New Roman"/>
        <family val="1"/>
      </rPr>
      <t>Add-Ins available</t>
    </r>
    <r>
      <rPr>
        <sz val="12"/>
        <rFont val="Times New Roman"/>
        <family val="1"/>
      </rPr>
      <t xml:space="preserve"> list, select the </t>
    </r>
    <r>
      <rPr>
        <b/>
        <sz val="12"/>
        <rFont val="Times New Roman"/>
        <family val="1"/>
      </rPr>
      <t>Analysis ToolPak</t>
    </r>
    <r>
      <rPr>
        <sz val="12"/>
        <rFont val="Times New Roman"/>
        <family val="1"/>
      </rPr>
      <t xml:space="preserve"> box, and then click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. </t>
    </r>
  </si>
  <si>
    <t>3. Restart Microsoft Excel.</t>
  </si>
  <si>
    <t>Soil properties</t>
  </si>
  <si>
    <t>Axially loaded pile analysis tool</t>
  </si>
  <si>
    <r>
      <t>If ALPAXL</t>
    </r>
    <r>
      <rPr>
        <vertAlign val="superscript"/>
        <sz val="12"/>
        <color indexed="10"/>
        <rFont val="Times New Roman"/>
        <family val="1"/>
      </rPr>
      <t>Ver 1.0</t>
    </r>
    <r>
      <rPr>
        <sz val="12"/>
        <color indexed="10"/>
        <rFont val="Times New Roman"/>
        <family val="1"/>
      </rPr>
      <t xml:space="preserve"> does not work properly, please check whether the Analysis TookPak add-in is intalled.</t>
    </r>
  </si>
  <si>
    <t>The installation procedures of the Analysis ToolPak are as follows: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</si>
</sst>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_ "/>
    <numFmt numFmtId="173" formatCode="0.0000_ "/>
    <numFmt numFmtId="174" formatCode="0.000_ "/>
    <numFmt numFmtId="175" formatCode="0.00_ "/>
    <numFmt numFmtId="176" formatCode="0.0_ "/>
    <numFmt numFmtId="177" formatCode="0_ "/>
    <numFmt numFmtId="178" formatCode="0.000E+00"/>
    <numFmt numFmtId="179" formatCode="0.0000000_ "/>
    <numFmt numFmtId="180" formatCode="0.000000_ "/>
    <numFmt numFmtId="181" formatCode="0.00000000_ "/>
  </numFmts>
  <fonts count="71">
    <font>
      <sz val="10"/>
      <name val="Arial"/>
      <family val="2"/>
    </font>
    <font>
      <sz val="8"/>
      <name val="돋움"/>
      <family val="3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24"/>
      <color indexed="6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color indexed="48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vertAlign val="subscript"/>
      <sz val="10"/>
      <name val="Times New Roman"/>
      <family val="1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8" fontId="0" fillId="33" borderId="10" xfId="0" applyNumberForma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7" fontId="11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52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top"/>
    </xf>
    <xf numFmtId="0" fontId="20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1" fontId="0" fillId="33" borderId="0" xfId="0" applyNumberFormat="1" applyFill="1" applyAlignment="1">
      <alignment horizontal="center" vertical="center"/>
    </xf>
    <xf numFmtId="11" fontId="0" fillId="33" borderId="12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172" fontId="0" fillId="33" borderId="12" xfId="0" applyNumberForma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8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025"/>
          <c:w val="0.927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v>soil displacement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0.8114046078747587</c:v>
                </c:pt>
                <c:pt idx="1">
                  <c:v>0.8093793185867565</c:v>
                </c:pt>
                <c:pt idx="2">
                  <c:v>0.8072279439338363</c:v>
                </c:pt>
                <c:pt idx="3">
                  <c:v>0.8049430176693042</c:v>
                </c:pt>
                <c:pt idx="4">
                  <c:v>0.8025166826974516</c:v>
                </c:pt>
                <c:pt idx="5">
                  <c:v>0.7999406776486216</c:v>
                </c:pt>
                <c:pt idx="6">
                  <c:v>0.7972063240489438</c:v>
                </c:pt>
                <c:pt idx="7">
                  <c:v>0.7943045142923133</c:v>
                </c:pt>
                <c:pt idx="8">
                  <c:v>0.7912257006528749</c:v>
                </c:pt>
                <c:pt idx="9">
                  <c:v>0.7879598856102106</c:v>
                </c:pt>
                <c:pt idx="10">
                  <c:v>0.7844966137968278</c:v>
                </c:pt>
                <c:pt idx="11">
                  <c:v>0.7808249659185431</c:v>
                </c:pt>
                <c:pt idx="12">
                  <c:v>0.7769335550431182</c:v>
                </c:pt>
                <c:pt idx="13">
                  <c:v>0.7728105257010901</c:v>
                </c:pt>
                <c:pt idx="14">
                  <c:v>0.7684435562951738</c:v>
                </c:pt>
                <c:pt idx="15">
                  <c:v>0.7638198653708506</c:v>
                </c:pt>
                <c:pt idx="16">
                  <c:v>0.7589262223605797</c:v>
                </c:pt>
                <c:pt idx="17">
                  <c:v>0.7537489634772183</c:v>
                </c:pt>
                <c:pt idx="18">
                  <c:v>0.7482740134981637</c:v>
                </c:pt>
                <c:pt idx="19">
                  <c:v>0.7424869142498014</c:v>
                </c:pt>
                <c:pt idx="20">
                  <c:v>0.7363728606710501</c:v>
                </c:pt>
                <c:pt idx="21">
                  <c:v>0.7299167454039173</c:v>
                </c:pt>
                <c:pt idx="22">
                  <c:v>0.723103212926366</c:v>
                </c:pt>
                <c:pt idx="23">
                  <c:v>0.7159167243064117</c:v>
                </c:pt>
                <c:pt idx="24">
                  <c:v>0.708341633713658</c:v>
                </c:pt>
                <c:pt idx="25">
                  <c:v>0.7003622778723231</c:v>
                </c:pt>
                <c:pt idx="26">
                  <c:v>0.691963079674456</c:v>
                </c:pt>
                <c:pt idx="27">
                  <c:v>0.6831286671889847</c:v>
                </c:pt>
                <c:pt idx="28">
                  <c:v>0.673844009296217</c:v>
                </c:pt>
                <c:pt idx="29">
                  <c:v>0.6640945691422807</c:v>
                </c:pt>
                <c:pt idx="30">
                  <c:v>0.6538664765366862</c:v>
                </c:pt>
                <c:pt idx="31">
                  <c:v>0.6431467203007574</c:v>
                </c:pt>
                <c:pt idx="32">
                  <c:v>0.6319233614061712</c:v>
                </c:pt>
                <c:pt idx="33">
                  <c:v>0.6201857675115154</c:v>
                </c:pt>
                <c:pt idx="34">
                  <c:v>0.6079248692000708</c:v>
                </c:pt>
                <c:pt idx="35">
                  <c:v>0.595133437832892</c:v>
                </c:pt>
                <c:pt idx="36">
                  <c:v>0.5818063844463783</c:v>
                </c:pt>
                <c:pt idx="37">
                  <c:v>0.5679410785318123</c:v>
                </c:pt>
                <c:pt idx="38">
                  <c:v>0.5535376848254857</c:v>
                </c:pt>
                <c:pt idx="39">
                  <c:v>0.538599515403342</c:v>
                </c:pt>
                <c:pt idx="40">
                  <c:v>0.5231333934074238</c:v>
                </c:pt>
                <c:pt idx="41">
                  <c:v>0.5071500236304904</c:v>
                </c:pt>
                <c:pt idx="42">
                  <c:v>0.4906643639529961</c:v>
                </c:pt>
                <c:pt idx="43">
                  <c:v>0.4736959902731447</c:v>
                </c:pt>
                <c:pt idx="44">
                  <c:v>0.4562694461149751</c:v>
                </c:pt>
                <c:pt idx="45">
                  <c:v>0.4384145665714712</c:v>
                </c:pt>
                <c:pt idx="46">
                  <c:v>0.4201667646829799</c:v>
                </c:pt>
                <c:pt idx="47">
                  <c:v>0.40156726682482746</c:v>
                </c:pt>
                <c:pt idx="48">
                  <c:v>0.38266328225853313</c:v>
                </c:pt>
                <c:pt idx="49">
                  <c:v>0.3635080907841501</c:v>
                </c:pt>
                <c:pt idx="50">
                  <c:v>0.344161031532475</c:v>
                </c:pt>
                <c:pt idx="51">
                  <c:v>0.3246873754898681</c:v>
                </c:pt>
                <c:pt idx="52">
                  <c:v>0.3051580645068839</c:v>
                </c:pt>
                <c:pt idx="53">
                  <c:v>0.28564930046892256</c:v>
                </c:pt>
                <c:pt idx="54">
                  <c:v>0.2662419701718307</c:v>
                </c:pt>
                <c:pt idx="55">
                  <c:v>0.2470208944112966</c:v>
                </c:pt>
                <c:pt idx="56">
                  <c:v>0.22807389400539627</c:v>
                </c:pt>
                <c:pt idx="57">
                  <c:v>0.20949067102963861</c:v>
                </c:pt>
                <c:pt idx="58">
                  <c:v>0.19136151049779632</c:v>
                </c:pt>
                <c:pt idx="59">
                  <c:v>0.17377581602877362</c:v>
                </c:pt>
                <c:pt idx="60">
                  <c:v>0.15682050254733132</c:v>
                </c:pt>
                <c:pt idx="61">
                  <c:v>0.14057827948556217</c:v>
                </c:pt>
                <c:pt idx="62">
                  <c:v>0.1251258688361425</c:v>
                </c:pt>
                <c:pt idx="63">
                  <c:v>0.11053221314194736</c:v>
                </c:pt>
                <c:pt idx="64">
                  <c:v>0.09685673830684582</c:v>
                </c:pt>
                <c:pt idx="65">
                  <c:v>0.08414774405109285</c:v>
                </c:pt>
                <c:pt idx="66">
                  <c:v>0.07244099988394972</c:v>
                </c:pt>
                <c:pt idx="67">
                  <c:v>0.06175862557333657</c:v>
                </c:pt>
                <c:pt idx="68">
                  <c:v>0.05210833128370852</c:v>
                </c:pt>
                <c:pt idx="69">
                  <c:v>0.043483083064267514</c:v>
                </c:pt>
                <c:pt idx="70">
                  <c:v>0.035861243791931376</c:v>
                </c:pt>
                <c:pt idx="71">
                  <c:v>0.029207218105106646</c:v>
                </c:pt>
                <c:pt idx="72">
                  <c:v>0.023472603038600014</c:v>
                </c:pt>
                <c:pt idx="73">
                  <c:v>0.018597815437282842</c:v>
                </c:pt>
                <c:pt idx="74">
                  <c:v>0.01451413495769524</c:v>
                </c:pt>
                <c:pt idx="75">
                  <c:v>0.011146070354244534</c:v>
                </c:pt>
                <c:pt idx="76">
                  <c:v>0.008413929979605191</c:v>
                </c:pt>
                <c:pt idx="77">
                  <c:v>0.006236458251416619</c:v>
                </c:pt>
                <c:pt idx="78">
                  <c:v>0.004533391108297311</c:v>
                </c:pt>
                <c:pt idx="79">
                  <c:v>0.0032277871888109133</c:v>
                </c:pt>
                <c:pt idx="80">
                  <c:v>0.002248008295008499</c:v>
                </c:pt>
                <c:pt idx="81">
                  <c:v>0.0015292516978327622</c:v>
                </c:pt>
                <c:pt idx="82">
                  <c:v>0.0010145753400543362</c:v>
                </c:pt>
                <c:pt idx="83">
                  <c:v>0.0006554008189923967</c:v>
                </c:pt>
                <c:pt idx="84">
                  <c:v>0.000411523017351756</c:v>
                </c:pt>
                <c:pt idx="85">
                  <c:v>0.00025069400444779433</c:v>
                </c:pt>
                <c:pt idx="86">
                  <c:v>0.00014787763693068783</c:v>
                </c:pt>
                <c:pt idx="87">
                  <c:v>8.428695458662796E-05</c:v>
                </c:pt>
                <c:pt idx="88">
                  <c:v>4.6317913120424024E-05</c:v>
                </c:pt>
                <c:pt idx="89">
                  <c:v>2.4481434705474882E-05</c:v>
                </c:pt>
                <c:pt idx="90">
                  <c:v>1.2414392141277958E-05</c:v>
                </c:pt>
                <c:pt idx="91">
                  <c:v>6.023443101621652E-06</c:v>
                </c:pt>
                <c:pt idx="92">
                  <c:v>2.7883605064989E-06</c:v>
                </c:pt>
                <c:pt idx="93">
                  <c:v>1.2277524252407145E-06</c:v>
                </c:pt>
                <c:pt idx="94">
                  <c:v>5.125275328463539E-07</c:v>
                </c:pt>
                <c:pt idx="95">
                  <c:v>2.0214500592779985E-07</c:v>
                </c:pt>
                <c:pt idx="96">
                  <c:v>7.504906920115366E-08</c:v>
                </c:pt>
                <c:pt idx="97">
                  <c:v>2.6125039348394475E-08</c:v>
                </c:pt>
                <c:pt idx="98">
                  <c:v>8.49141082321278E-09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24.03490519830312</c:v>
                </c:pt>
                <c:pt idx="1">
                  <c:v>24.0348180739221</c:v>
                </c:pt>
                <c:pt idx="2">
                  <c:v>24.03472552557057</c:v>
                </c:pt>
                <c:pt idx="3">
                  <c:v>24.03462723206373</c:v>
                </c:pt>
                <c:pt idx="4">
                  <c:v>24.03452285540316</c:v>
                </c:pt>
                <c:pt idx="5">
                  <c:v>24.03441204019927</c:v>
                </c:pt>
                <c:pt idx="6">
                  <c:v>24.034294413119387</c:v>
                </c:pt>
                <c:pt idx="7">
                  <c:v>24.034169582370325</c:v>
                </c:pt>
                <c:pt idx="8">
                  <c:v>24.03403713722572</c:v>
                </c:pt>
                <c:pt idx="9">
                  <c:v>24.03389664760984</c:v>
                </c:pt>
                <c:pt idx="10">
                  <c:v>24.033747663751168</c:v>
                </c:pt>
                <c:pt idx="11">
                  <c:v>24.033589715920893</c:v>
                </c:pt>
                <c:pt idx="12">
                  <c:v>24.03342231427322</c:v>
                </c:pt>
                <c:pt idx="13">
                  <c:v>24.033244948806725</c:v>
                </c:pt>
                <c:pt idx="14">
                  <c:v>24.03305708946797</c:v>
                </c:pt>
                <c:pt idx="15">
                  <c:v>24.03285818642128</c:v>
                </c:pt>
                <c:pt idx="16">
                  <c:v>24.03264767051092</c:v>
                </c:pt>
                <c:pt idx="17">
                  <c:v>24.03242495394481</c:v>
                </c:pt>
                <c:pt idx="18">
                  <c:v>24.032189431231647</c:v>
                </c:pt>
                <c:pt idx="19">
                  <c:v>24.03194048040625</c:v>
                </c:pt>
                <c:pt idx="20">
                  <c:v>24.031677464580934</c:v>
                </c:pt>
                <c:pt idx="21">
                  <c:v>24.031399733863758</c:v>
                </c:pt>
                <c:pt idx="22">
                  <c:v>24.031106627687176</c:v>
                </c:pt>
                <c:pt idx="23">
                  <c:v>24.030797477593687</c:v>
                </c:pt>
                <c:pt idx="24">
                  <c:v>24.030471610527197</c:v>
                </c:pt>
                <c:pt idx="25">
                  <c:v>24.03012835268115</c:v>
                </c:pt>
                <c:pt idx="26">
                  <c:v>24.02976703395577</c:v>
                </c:pt>
                <c:pt idx="27">
                  <c:v>24.029386993077637</c:v>
                </c:pt>
                <c:pt idx="28">
                  <c:v>24.028987583434436</c:v>
                </c:pt>
                <c:pt idx="29">
                  <c:v>24.02856817967629</c:v>
                </c:pt>
                <c:pt idx="30">
                  <c:v>24.028128185132022</c:v>
                </c:pt>
                <c:pt idx="31">
                  <c:v>24.027667040083614</c:v>
                </c:pt>
                <c:pt idx="32">
                  <c:v>24.027184230935084</c:v>
                </c:pt>
                <c:pt idx="33">
                  <c:v>24.02667930030181</c:v>
                </c:pt>
                <c:pt idx="34">
                  <c:v>24.02615185803345</c:v>
                </c:pt>
                <c:pt idx="35">
                  <c:v>24.025601593166677</c:v>
                </c:pt>
                <c:pt idx="36">
                  <c:v>24.02502828678323</c:v>
                </c:pt>
                <c:pt idx="37">
                  <c:v>24.024431825723255</c:v>
                </c:pt>
                <c:pt idx="38">
                  <c:v>24.023812217073417</c:v>
                </c:pt>
                <c:pt idx="39">
                  <c:v>24.023169603313395</c:v>
                </c:pt>
                <c:pt idx="40">
                  <c:v>24.022504277962753</c:v>
                </c:pt>
                <c:pt idx="41">
                  <c:v>24.021816701522834</c:v>
                </c:pt>
                <c:pt idx="42">
                  <c:v>24.021107517455334</c:v>
                </c:pt>
                <c:pt idx="43">
                  <c:v>24.020377567880942</c:v>
                </c:pt>
                <c:pt idx="44">
                  <c:v>24.019627908618872</c:v>
                </c:pt>
                <c:pt idx="45">
                  <c:v>24.018859823122323</c:v>
                </c:pt>
                <c:pt idx="46">
                  <c:v>24.01807483479796</c:v>
                </c:pt>
                <c:pt idx="47">
                  <c:v>24.017274717131908</c:v>
                </c:pt>
                <c:pt idx="48">
                  <c:v>24.016461500983514</c:v>
                </c:pt>
                <c:pt idx="49">
                  <c:v>24.015637478356012</c:v>
                </c:pt>
                <c:pt idx="50">
                  <c:v>24.014805201914385</c:v>
                </c:pt>
                <c:pt idx="51">
                  <c:v>24.0139674795016</c:v>
                </c:pt>
                <c:pt idx="52">
                  <c:v>24.013127362911224</c:v>
                </c:pt>
                <c:pt idx="53">
                  <c:v>24.01228813021426</c:v>
                </c:pt>
                <c:pt idx="54">
                  <c:v>24.011453261018325</c:v>
                </c:pt>
                <c:pt idx="55">
                  <c:v>24.01062640416478</c:v>
                </c:pt>
                <c:pt idx="56">
                  <c:v>24.009811337550666</c:v>
                </c:pt>
                <c:pt idx="57">
                  <c:v>24.009011920001413</c:v>
                </c:pt>
                <c:pt idx="58">
                  <c:v>24.008232035419425</c:v>
                </c:pt>
                <c:pt idx="59">
                  <c:v>24.00747552979106</c:v>
                </c:pt>
                <c:pt idx="60">
                  <c:v>24.006746142043422</c:v>
                </c:pt>
                <c:pt idx="61">
                  <c:v>24.006047430190726</c:v>
                </c:pt>
                <c:pt idx="62">
                  <c:v>24.00538269467808</c:v>
                </c:pt>
                <c:pt idx="63">
                  <c:v>24.00475490129235</c:v>
                </c:pt>
                <c:pt idx="64">
                  <c:v>24.004166606431344</c:v>
                </c:pt>
                <c:pt idx="65">
                  <c:v>24.00361988786403</c:v>
                </c:pt>
                <c:pt idx="66">
                  <c:v>24.003116284331746</c:v>
                </c:pt>
                <c:pt idx="67">
                  <c:v>24.00265674738798</c:v>
                </c:pt>
                <c:pt idx="68">
                  <c:v>24.002241608710438</c:v>
                </c:pt>
                <c:pt idx="69">
                  <c:v>24.00187056571094</c:v>
                </c:pt>
                <c:pt idx="70">
                  <c:v>24.001542687598523</c:v>
                </c:pt>
                <c:pt idx="71">
                  <c:v>24.001256443123378</c:v>
                </c:pt>
                <c:pt idx="72">
                  <c:v>24.001009750075117</c:v>
                </c:pt>
                <c:pt idx="73">
                  <c:v>24.000800045291268</c:v>
                </c:pt>
                <c:pt idx="74">
                  <c:v>24.000624372543587</c:v>
                </c:pt>
                <c:pt idx="75">
                  <c:v>24.00047948433154</c:v>
                </c:pt>
                <c:pt idx="76">
                  <c:v>24.000361952460704</c:v>
                </c:pt>
                <c:pt idx="77">
                  <c:v>24.00026828145892</c:v>
                </c:pt>
                <c:pt idx="78">
                  <c:v>24.00019501850752</c:v>
                </c:pt>
                <c:pt idx="79">
                  <c:v>24.000138853724533</c:v>
                </c:pt>
                <c:pt idx="80">
                  <c:v>24.000096705360757</c:v>
                </c:pt>
                <c:pt idx="81">
                  <c:v>24.00006578571683</c:v>
                </c:pt>
                <c:pt idx="82">
                  <c:v>24.000043645245658</c:v>
                </c:pt>
                <c:pt idx="83">
                  <c:v>24.000028194189845</c:v>
                </c:pt>
                <c:pt idx="84">
                  <c:v>24.000017702996</c:v>
                </c:pt>
                <c:pt idx="85">
                  <c:v>24.000010784414894</c:v>
                </c:pt>
                <c:pt idx="86">
                  <c:v>24.0000063614357</c:v>
                </c:pt>
                <c:pt idx="87">
                  <c:v>24.000003625876456</c:v>
                </c:pt>
                <c:pt idx="88">
                  <c:v>24.000001992515113</c:v>
                </c:pt>
                <c:pt idx="89">
                  <c:v>24.00000105314824</c:v>
                </c:pt>
                <c:pt idx="90">
                  <c:v>24.000000534045302</c:v>
                </c:pt>
                <c:pt idx="91">
                  <c:v>24.000000259117922</c:v>
                </c:pt>
                <c:pt idx="92">
                  <c:v>24.00000011995036</c:v>
                </c:pt>
                <c:pt idx="93">
                  <c:v>24.00000005281575</c:v>
                </c:pt>
                <c:pt idx="94">
                  <c:v>24.00000002204803</c:v>
                </c:pt>
                <c:pt idx="95">
                  <c:v>24.000000008695924</c:v>
                </c:pt>
                <c:pt idx="96">
                  <c:v>24.00000000322848</c:v>
                </c:pt>
                <c:pt idx="97">
                  <c:v>24.000000001123855</c:v>
                </c:pt>
                <c:pt idx="98">
                  <c:v>24.000000000365286</c:v>
                </c:pt>
              </c:numCache>
            </c:numRef>
          </c:yVal>
          <c:smooth val="1"/>
        </c:ser>
        <c:ser>
          <c:idx val="2"/>
          <c:order val="2"/>
          <c:tx>
            <c:v>original pile</c:v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PlotTable!$O$5:$O$9</c:f>
              <c:numCache>
                <c:ptCount val="5"/>
                <c:pt idx="0">
                  <c:v>0.39774363602702684</c:v>
                </c:pt>
                <c:pt idx="1">
                  <c:v>-0.39774363602702684</c:v>
                </c:pt>
                <c:pt idx="2">
                  <c:v>-0.39774363602702684</c:v>
                </c:pt>
                <c:pt idx="3">
                  <c:v>0.39774363602702684</c:v>
                </c:pt>
                <c:pt idx="4">
                  <c:v>0.39774363602702684</c:v>
                </c:pt>
              </c:numCache>
            </c:numRef>
          </c:xVal>
          <c:yVal>
            <c:numRef>
              <c:f>PlotTable!$N$5:$N$9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24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deformed pile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PlotTable!$Q$5:$Q$9</c:f>
              <c:numCache>
                <c:ptCount val="5"/>
                <c:pt idx="0">
                  <c:v>0.39774363602702684</c:v>
                </c:pt>
                <c:pt idx="1">
                  <c:v>-0.39774363602702684</c:v>
                </c:pt>
                <c:pt idx="2">
                  <c:v>-0.39774363602702684</c:v>
                </c:pt>
                <c:pt idx="3">
                  <c:v>0.39774363602702684</c:v>
                </c:pt>
                <c:pt idx="4">
                  <c:v>0.39774363602702684</c:v>
                </c:pt>
              </c:numCache>
            </c:numRef>
          </c:xVal>
          <c:yVal>
            <c:numRef>
              <c:f>PlotTable!$P$5:$P$9</c:f>
              <c:numCache>
                <c:ptCount val="5"/>
                <c:pt idx="0">
                  <c:v>0.8133109010351847</c:v>
                </c:pt>
                <c:pt idx="1">
                  <c:v>0.8133109010351847</c:v>
                </c:pt>
                <c:pt idx="2">
                  <c:v>24.034987203680146</c:v>
                </c:pt>
                <c:pt idx="3">
                  <c:v>24.034987203680146</c:v>
                </c:pt>
                <c:pt idx="4">
                  <c:v>0.8133109010351847</c:v>
                </c:pt>
              </c:numCache>
            </c:numRef>
          </c:yVal>
          <c:smooth val="1"/>
        </c:ser>
        <c:ser>
          <c:idx val="4"/>
          <c:order val="4"/>
          <c:tx>
            <c:v>head (- 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-0.5710172499999999</c:v>
                </c:pt>
                <c:pt idx="1">
                  <c:v>-0.57742562125</c:v>
                </c:pt>
                <c:pt idx="2">
                  <c:v>-0.5842505366312499</c:v>
                </c:pt>
                <c:pt idx="3">
                  <c:v>-0.5915190715122812</c:v>
                </c:pt>
                <c:pt idx="4">
                  <c:v>-0.5992600611605795</c:v>
                </c:pt>
                <c:pt idx="5">
                  <c:v>-0.6075042151360172</c:v>
                </c:pt>
                <c:pt idx="6">
                  <c:v>-0.6162842391198583</c:v>
                </c:pt>
                <c:pt idx="7">
                  <c:v>-0.6256349646626491</c:v>
                </c:pt>
                <c:pt idx="8">
                  <c:v>-0.6355934873657213</c:v>
                </c:pt>
                <c:pt idx="9">
                  <c:v>-0.6461993140444932</c:v>
                </c:pt>
                <c:pt idx="10">
                  <c:v>-0.6574945194573852</c:v>
                </c:pt>
                <c:pt idx="11">
                  <c:v>-0.6695239132221152</c:v>
                </c:pt>
                <c:pt idx="12">
                  <c:v>-0.6823352175815527</c:v>
                </c:pt>
                <c:pt idx="13">
                  <c:v>-0.6959792567243536</c:v>
                </c:pt>
                <c:pt idx="14">
                  <c:v>-0.7105101584114365</c:v>
                </c:pt>
                <c:pt idx="15">
                  <c:v>-0.7259855687081799</c:v>
                </c:pt>
                <c:pt idx="16">
                  <c:v>-0.7424668806742115</c:v>
                </c:pt>
                <c:pt idx="17">
                  <c:v>-0.7600194779180353</c:v>
                </c:pt>
                <c:pt idx="18">
                  <c:v>-0.7787129939827075</c:v>
                </c:pt>
                <c:pt idx="19">
                  <c:v>-0.7986215885915835</c:v>
                </c:pt>
                <c:pt idx="20">
                  <c:v>-0.8198242418500364</c:v>
                </c:pt>
                <c:pt idx="21">
                  <c:v>-0.8424050675702888</c:v>
                </c:pt>
                <c:pt idx="22">
                  <c:v>-0.8664536469623575</c:v>
                </c:pt>
                <c:pt idx="23">
                  <c:v>-0.8920653840149108</c:v>
                </c:pt>
                <c:pt idx="24">
                  <c:v>-0.9193418839758799</c:v>
                </c:pt>
                <c:pt idx="25">
                  <c:v>-0.948391356434312</c:v>
                </c:pt>
                <c:pt idx="26">
                  <c:v>-0.9793290446025423</c:v>
                </c:pt>
                <c:pt idx="27">
                  <c:v>-1.0122776825017075</c:v>
                </c:pt>
                <c:pt idx="28">
                  <c:v>-1.0473679818643185</c:v>
                </c:pt>
                <c:pt idx="29">
                  <c:v>-1.084739150685499</c:v>
                </c:pt>
                <c:pt idx="30">
                  <c:v>-1.1245394454800566</c:v>
                </c:pt>
                <c:pt idx="31">
                  <c:v>-1.1669267594362602</c:v>
                </c:pt>
                <c:pt idx="32">
                  <c:v>-1.2120692487996172</c:v>
                </c:pt>
                <c:pt idx="33">
                  <c:v>-1.2601459999715923</c:v>
                </c:pt>
                <c:pt idx="34">
                  <c:v>-1.3113477399697457</c:v>
                </c:pt>
                <c:pt idx="35">
                  <c:v>-1.3658775930677791</c:v>
                </c:pt>
                <c:pt idx="36">
                  <c:v>-1.4239518866171847</c:v>
                </c:pt>
                <c:pt idx="37">
                  <c:v>-1.4858010092473017</c:v>
                </c:pt>
                <c:pt idx="38">
                  <c:v>-1.5516703248483763</c:v>
                </c:pt>
                <c:pt idx="39">
                  <c:v>-1.6218211459635206</c:v>
                </c:pt>
                <c:pt idx="40">
                  <c:v>-1.6965317704511493</c:v>
                </c:pt>
                <c:pt idx="41">
                  <c:v>-1.7760985855304738</c:v>
                </c:pt>
                <c:pt idx="42">
                  <c:v>-1.8608372435899545</c:v>
                </c:pt>
                <c:pt idx="43">
                  <c:v>-1.9510839144233014</c:v>
                </c:pt>
                <c:pt idx="44">
                  <c:v>-2.047196618860816</c:v>
                </c:pt>
                <c:pt idx="45">
                  <c:v>-2.149556649086769</c:v>
                </c:pt>
                <c:pt idx="46">
                  <c:v>-2.2585700812774085</c:v>
                </c:pt>
                <c:pt idx="47">
                  <c:v>-2.37466938656044</c:v>
                </c:pt>
                <c:pt idx="48">
                  <c:v>-2.4983151466868683</c:v>
                </c:pt>
                <c:pt idx="49">
                  <c:v>-2.6299978812215143</c:v>
                </c:pt>
                <c:pt idx="50">
                  <c:v>-2.7702399935009128</c:v>
                </c:pt>
                <c:pt idx="51">
                  <c:v>-2.919597843078472</c:v>
                </c:pt>
                <c:pt idx="52">
                  <c:v>-3.078663952878572</c:v>
                </c:pt>
                <c:pt idx="53">
                  <c:v>-3.248069359815679</c:v>
                </c:pt>
                <c:pt idx="54">
                  <c:v>-3.428486118203698</c:v>
                </c:pt>
                <c:pt idx="55">
                  <c:v>-3.620629965886938</c:v>
                </c:pt>
                <c:pt idx="56">
                  <c:v>-3.8252631636695886</c:v>
                </c:pt>
                <c:pt idx="57">
                  <c:v>-4.043197519308111</c:v>
                </c:pt>
                <c:pt idx="58">
                  <c:v>-4.275297608063139</c:v>
                </c:pt>
                <c:pt idx="59">
                  <c:v>-4.5224842025872425</c:v>
                </c:pt>
                <c:pt idx="60">
                  <c:v>-4.785737925755413</c:v>
                </c:pt>
                <c:pt idx="61">
                  <c:v>-5.066103140929514</c:v>
                </c:pt>
                <c:pt idx="62">
                  <c:v>-5.364692095089932</c:v>
                </c:pt>
                <c:pt idx="63">
                  <c:v>-5.682689331270778</c:v>
                </c:pt>
                <c:pt idx="64">
                  <c:v>-6.021356387803378</c:v>
                </c:pt>
                <c:pt idx="65">
                  <c:v>-6.382036803010597</c:v>
                </c:pt>
                <c:pt idx="66">
                  <c:v>-6.7661614452062855</c:v>
                </c:pt>
                <c:pt idx="67">
                  <c:v>-7.1752541891446935</c:v>
                </c:pt>
                <c:pt idx="68">
                  <c:v>-7.610937961439098</c:v>
                </c:pt>
                <c:pt idx="69">
                  <c:v>-8.074941178932638</c:v>
                </c:pt>
                <c:pt idx="70">
                  <c:v>-8.56910460556326</c:v>
                </c:pt>
                <c:pt idx="71">
                  <c:v>-9.095388654924871</c:v>
                </c:pt>
                <c:pt idx="72">
                  <c:v>-9.655881167494988</c:v>
                </c:pt>
                <c:pt idx="73">
                  <c:v>-10.252805693382161</c:v>
                </c:pt>
                <c:pt idx="74">
                  <c:v>-10.888530313452</c:v>
                </c:pt>
                <c:pt idx="75">
                  <c:v>-11.56557703382638</c:v>
                </c:pt>
                <c:pt idx="76">
                  <c:v>-12.286631791025092</c:v>
                </c:pt>
                <c:pt idx="77">
                  <c:v>-13.054555107441722</c:v>
                </c:pt>
                <c:pt idx="78">
                  <c:v>-13.872393439425434</c:v>
                </c:pt>
                <c:pt idx="79">
                  <c:v>-14.743391262988085</c:v>
                </c:pt>
                <c:pt idx="80">
                  <c:v>-15.67100394508231</c:v>
                </c:pt>
                <c:pt idx="81">
                  <c:v>-16.658911451512658</c:v>
                </c:pt>
                <c:pt idx="82">
                  <c:v>-17.71103294586098</c:v>
                </c:pt>
                <c:pt idx="83">
                  <c:v>-18.83154233734194</c:v>
                </c:pt>
                <c:pt idx="84">
                  <c:v>-20.024884839269163</c:v>
                </c:pt>
                <c:pt idx="85">
                  <c:v>-21.29579460382166</c:v>
                </c:pt>
                <c:pt idx="86">
                  <c:v>-22.649313503070065</c:v>
                </c:pt>
                <c:pt idx="87">
                  <c:v>-24.090811130769616</c:v>
                </c:pt>
                <c:pt idx="88">
                  <c:v>-25.62600610426964</c:v>
                </c:pt>
                <c:pt idx="89">
                  <c:v>-27.26098875104716</c:v>
                </c:pt>
                <c:pt idx="90">
                  <c:v>-29.002245269865224</c:v>
                </c:pt>
                <c:pt idx="91">
                  <c:v>-30.856683462406462</c:v>
                </c:pt>
                <c:pt idx="92">
                  <c:v>-32.83166013746288</c:v>
                </c:pt>
                <c:pt idx="93">
                  <c:v>-34.93501029639797</c:v>
                </c:pt>
                <c:pt idx="94">
                  <c:v>-37.17507821566383</c:v>
                </c:pt>
                <c:pt idx="95">
                  <c:v>-39.56075054968198</c:v>
                </c:pt>
                <c:pt idx="96">
                  <c:v>-42.1014915854113</c:v>
                </c:pt>
                <c:pt idx="97">
                  <c:v>-44.807380788463036</c:v>
                </c:pt>
                <c:pt idx="98">
                  <c:v>-47.68915278971313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0.8114046078747587</c:v>
                </c:pt>
                <c:pt idx="1">
                  <c:v>0.8093793185867565</c:v>
                </c:pt>
                <c:pt idx="2">
                  <c:v>0.8072279439338363</c:v>
                </c:pt>
                <c:pt idx="3">
                  <c:v>0.8049430176693042</c:v>
                </c:pt>
                <c:pt idx="4">
                  <c:v>0.8025166826974516</c:v>
                </c:pt>
                <c:pt idx="5">
                  <c:v>0.7999406776486216</c:v>
                </c:pt>
                <c:pt idx="6">
                  <c:v>0.7972063240489438</c:v>
                </c:pt>
                <c:pt idx="7">
                  <c:v>0.7943045142923133</c:v>
                </c:pt>
                <c:pt idx="8">
                  <c:v>0.7912257006528749</c:v>
                </c:pt>
                <c:pt idx="9">
                  <c:v>0.7879598856102106</c:v>
                </c:pt>
                <c:pt idx="10">
                  <c:v>0.7844966137968278</c:v>
                </c:pt>
                <c:pt idx="11">
                  <c:v>0.7808249659185431</c:v>
                </c:pt>
                <c:pt idx="12">
                  <c:v>0.7769335550431182</c:v>
                </c:pt>
                <c:pt idx="13">
                  <c:v>0.7728105257010901</c:v>
                </c:pt>
                <c:pt idx="14">
                  <c:v>0.7684435562951738</c:v>
                </c:pt>
                <c:pt idx="15">
                  <c:v>0.7638198653708506</c:v>
                </c:pt>
                <c:pt idx="16">
                  <c:v>0.7589262223605797</c:v>
                </c:pt>
                <c:pt idx="17">
                  <c:v>0.7537489634772183</c:v>
                </c:pt>
                <c:pt idx="18">
                  <c:v>0.7482740134981637</c:v>
                </c:pt>
                <c:pt idx="19">
                  <c:v>0.7424869142498014</c:v>
                </c:pt>
                <c:pt idx="20">
                  <c:v>0.7363728606710501</c:v>
                </c:pt>
                <c:pt idx="21">
                  <c:v>0.7299167454039173</c:v>
                </c:pt>
                <c:pt idx="22">
                  <c:v>0.723103212926366</c:v>
                </c:pt>
                <c:pt idx="23">
                  <c:v>0.7159167243064117</c:v>
                </c:pt>
                <c:pt idx="24">
                  <c:v>0.708341633713658</c:v>
                </c:pt>
                <c:pt idx="25">
                  <c:v>0.7003622778723231</c:v>
                </c:pt>
                <c:pt idx="26">
                  <c:v>0.691963079674456</c:v>
                </c:pt>
                <c:pt idx="27">
                  <c:v>0.6831286671889847</c:v>
                </c:pt>
                <c:pt idx="28">
                  <c:v>0.673844009296217</c:v>
                </c:pt>
                <c:pt idx="29">
                  <c:v>0.6640945691422807</c:v>
                </c:pt>
                <c:pt idx="30">
                  <c:v>0.6538664765366862</c:v>
                </c:pt>
                <c:pt idx="31">
                  <c:v>0.6431467203007574</c:v>
                </c:pt>
                <c:pt idx="32">
                  <c:v>0.6319233614061712</c:v>
                </c:pt>
                <c:pt idx="33">
                  <c:v>0.6201857675115154</c:v>
                </c:pt>
                <c:pt idx="34">
                  <c:v>0.6079248692000708</c:v>
                </c:pt>
                <c:pt idx="35">
                  <c:v>0.595133437832892</c:v>
                </c:pt>
                <c:pt idx="36">
                  <c:v>0.5818063844463783</c:v>
                </c:pt>
                <c:pt idx="37">
                  <c:v>0.5679410785318123</c:v>
                </c:pt>
                <c:pt idx="38">
                  <c:v>0.5535376848254857</c:v>
                </c:pt>
                <c:pt idx="39">
                  <c:v>0.538599515403342</c:v>
                </c:pt>
                <c:pt idx="40">
                  <c:v>0.5231333934074238</c:v>
                </c:pt>
                <c:pt idx="41">
                  <c:v>0.5071500236304904</c:v>
                </c:pt>
                <c:pt idx="42">
                  <c:v>0.4906643639529961</c:v>
                </c:pt>
                <c:pt idx="43">
                  <c:v>0.4736959902731447</c:v>
                </c:pt>
                <c:pt idx="44">
                  <c:v>0.4562694461149751</c:v>
                </c:pt>
                <c:pt idx="45">
                  <c:v>0.4384145665714712</c:v>
                </c:pt>
                <c:pt idx="46">
                  <c:v>0.4201667646829799</c:v>
                </c:pt>
                <c:pt idx="47">
                  <c:v>0.40156726682482746</c:v>
                </c:pt>
                <c:pt idx="48">
                  <c:v>0.38266328225853313</c:v>
                </c:pt>
                <c:pt idx="49">
                  <c:v>0.3635080907841501</c:v>
                </c:pt>
                <c:pt idx="50">
                  <c:v>0.344161031532475</c:v>
                </c:pt>
                <c:pt idx="51">
                  <c:v>0.3246873754898681</c:v>
                </c:pt>
                <c:pt idx="52">
                  <c:v>0.3051580645068839</c:v>
                </c:pt>
                <c:pt idx="53">
                  <c:v>0.28564930046892256</c:v>
                </c:pt>
                <c:pt idx="54">
                  <c:v>0.2662419701718307</c:v>
                </c:pt>
                <c:pt idx="55">
                  <c:v>0.2470208944112966</c:v>
                </c:pt>
                <c:pt idx="56">
                  <c:v>0.22807389400539627</c:v>
                </c:pt>
                <c:pt idx="57">
                  <c:v>0.20949067102963861</c:v>
                </c:pt>
                <c:pt idx="58">
                  <c:v>0.19136151049779632</c:v>
                </c:pt>
                <c:pt idx="59">
                  <c:v>0.17377581602877362</c:v>
                </c:pt>
                <c:pt idx="60">
                  <c:v>0.15682050254733132</c:v>
                </c:pt>
                <c:pt idx="61">
                  <c:v>0.14057827948556217</c:v>
                </c:pt>
                <c:pt idx="62">
                  <c:v>0.1251258688361425</c:v>
                </c:pt>
                <c:pt idx="63">
                  <c:v>0.11053221314194736</c:v>
                </c:pt>
                <c:pt idx="64">
                  <c:v>0.09685673830684582</c:v>
                </c:pt>
                <c:pt idx="65">
                  <c:v>0.08414774405109285</c:v>
                </c:pt>
                <c:pt idx="66">
                  <c:v>0.07244099988394972</c:v>
                </c:pt>
                <c:pt idx="67">
                  <c:v>0.06175862557333657</c:v>
                </c:pt>
                <c:pt idx="68">
                  <c:v>0.05210833128370852</c:v>
                </c:pt>
                <c:pt idx="69">
                  <c:v>0.043483083064267514</c:v>
                </c:pt>
                <c:pt idx="70">
                  <c:v>0.035861243791931376</c:v>
                </c:pt>
                <c:pt idx="71">
                  <c:v>0.029207218105106646</c:v>
                </c:pt>
                <c:pt idx="72">
                  <c:v>0.023472603038600014</c:v>
                </c:pt>
                <c:pt idx="73">
                  <c:v>0.018597815437282842</c:v>
                </c:pt>
                <c:pt idx="74">
                  <c:v>0.01451413495769524</c:v>
                </c:pt>
                <c:pt idx="75">
                  <c:v>0.011146070354244534</c:v>
                </c:pt>
                <c:pt idx="76">
                  <c:v>0.008413929979605191</c:v>
                </c:pt>
                <c:pt idx="77">
                  <c:v>0.006236458251416619</c:v>
                </c:pt>
                <c:pt idx="78">
                  <c:v>0.004533391108297311</c:v>
                </c:pt>
                <c:pt idx="79">
                  <c:v>0.0032277871888109133</c:v>
                </c:pt>
                <c:pt idx="80">
                  <c:v>0.002248008295008499</c:v>
                </c:pt>
                <c:pt idx="81">
                  <c:v>0.0015292516978327622</c:v>
                </c:pt>
                <c:pt idx="82">
                  <c:v>0.0010145753400543362</c:v>
                </c:pt>
                <c:pt idx="83">
                  <c:v>0.0006554008189923967</c:v>
                </c:pt>
                <c:pt idx="84">
                  <c:v>0.000411523017351756</c:v>
                </c:pt>
                <c:pt idx="85">
                  <c:v>0.00025069400444779433</c:v>
                </c:pt>
                <c:pt idx="86">
                  <c:v>0.00014787763693068783</c:v>
                </c:pt>
                <c:pt idx="87">
                  <c:v>8.428695458662796E-05</c:v>
                </c:pt>
                <c:pt idx="88">
                  <c:v>4.6317913120424024E-05</c:v>
                </c:pt>
                <c:pt idx="89">
                  <c:v>2.4481434705474882E-05</c:v>
                </c:pt>
                <c:pt idx="90">
                  <c:v>1.2414392141277958E-05</c:v>
                </c:pt>
                <c:pt idx="91">
                  <c:v>6.023443101621652E-06</c:v>
                </c:pt>
                <c:pt idx="92">
                  <c:v>2.7883605064989E-06</c:v>
                </c:pt>
                <c:pt idx="93">
                  <c:v>1.2277524252407145E-06</c:v>
                </c:pt>
                <c:pt idx="94">
                  <c:v>5.125275328463539E-07</c:v>
                </c:pt>
                <c:pt idx="95">
                  <c:v>2.0214500592779985E-07</c:v>
                </c:pt>
                <c:pt idx="96">
                  <c:v>7.504906920115366E-08</c:v>
                </c:pt>
                <c:pt idx="97">
                  <c:v>2.6125039348394475E-08</c:v>
                </c:pt>
                <c:pt idx="98">
                  <c:v>8.49141082321278E-09</c:v>
                </c:pt>
              </c:numCache>
            </c:numRef>
          </c:yVal>
          <c:smooth val="1"/>
        </c:ser>
        <c:ser>
          <c:idx val="5"/>
          <c:order val="5"/>
          <c:tx>
            <c:v>base (-dir.)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-0.5710172499999999</c:v>
                </c:pt>
                <c:pt idx="1">
                  <c:v>-0.57742562125</c:v>
                </c:pt>
                <c:pt idx="2">
                  <c:v>-0.5842505366312499</c:v>
                </c:pt>
                <c:pt idx="3">
                  <c:v>-0.5915190715122812</c:v>
                </c:pt>
                <c:pt idx="4">
                  <c:v>-0.5992600611605795</c:v>
                </c:pt>
                <c:pt idx="5">
                  <c:v>-0.6075042151360172</c:v>
                </c:pt>
                <c:pt idx="6">
                  <c:v>-0.6162842391198583</c:v>
                </c:pt>
                <c:pt idx="7">
                  <c:v>-0.6256349646626491</c:v>
                </c:pt>
                <c:pt idx="8">
                  <c:v>-0.6355934873657213</c:v>
                </c:pt>
                <c:pt idx="9">
                  <c:v>-0.6461993140444932</c:v>
                </c:pt>
                <c:pt idx="10">
                  <c:v>-0.6574945194573852</c:v>
                </c:pt>
                <c:pt idx="11">
                  <c:v>-0.6695239132221152</c:v>
                </c:pt>
                <c:pt idx="12">
                  <c:v>-0.6823352175815527</c:v>
                </c:pt>
                <c:pt idx="13">
                  <c:v>-0.6959792567243536</c:v>
                </c:pt>
                <c:pt idx="14">
                  <c:v>-0.7105101584114365</c:v>
                </c:pt>
                <c:pt idx="15">
                  <c:v>-0.7259855687081799</c:v>
                </c:pt>
                <c:pt idx="16">
                  <c:v>-0.7424668806742115</c:v>
                </c:pt>
                <c:pt idx="17">
                  <c:v>-0.7600194779180353</c:v>
                </c:pt>
                <c:pt idx="18">
                  <c:v>-0.7787129939827075</c:v>
                </c:pt>
                <c:pt idx="19">
                  <c:v>-0.7986215885915835</c:v>
                </c:pt>
                <c:pt idx="20">
                  <c:v>-0.8198242418500364</c:v>
                </c:pt>
                <c:pt idx="21">
                  <c:v>-0.8424050675702888</c:v>
                </c:pt>
                <c:pt idx="22">
                  <c:v>-0.8664536469623575</c:v>
                </c:pt>
                <c:pt idx="23">
                  <c:v>-0.8920653840149108</c:v>
                </c:pt>
                <c:pt idx="24">
                  <c:v>-0.9193418839758799</c:v>
                </c:pt>
                <c:pt idx="25">
                  <c:v>-0.948391356434312</c:v>
                </c:pt>
                <c:pt idx="26">
                  <c:v>-0.9793290446025423</c:v>
                </c:pt>
                <c:pt idx="27">
                  <c:v>-1.0122776825017075</c:v>
                </c:pt>
                <c:pt idx="28">
                  <c:v>-1.0473679818643185</c:v>
                </c:pt>
                <c:pt idx="29">
                  <c:v>-1.084739150685499</c:v>
                </c:pt>
                <c:pt idx="30">
                  <c:v>-1.1245394454800566</c:v>
                </c:pt>
                <c:pt idx="31">
                  <c:v>-1.1669267594362602</c:v>
                </c:pt>
                <c:pt idx="32">
                  <c:v>-1.2120692487996172</c:v>
                </c:pt>
                <c:pt idx="33">
                  <c:v>-1.2601459999715923</c:v>
                </c:pt>
                <c:pt idx="34">
                  <c:v>-1.3113477399697457</c:v>
                </c:pt>
                <c:pt idx="35">
                  <c:v>-1.3658775930677791</c:v>
                </c:pt>
                <c:pt idx="36">
                  <c:v>-1.4239518866171847</c:v>
                </c:pt>
                <c:pt idx="37">
                  <c:v>-1.4858010092473017</c:v>
                </c:pt>
                <c:pt idx="38">
                  <c:v>-1.5516703248483763</c:v>
                </c:pt>
                <c:pt idx="39">
                  <c:v>-1.6218211459635206</c:v>
                </c:pt>
                <c:pt idx="40">
                  <c:v>-1.6965317704511493</c:v>
                </c:pt>
                <c:pt idx="41">
                  <c:v>-1.7760985855304738</c:v>
                </c:pt>
                <c:pt idx="42">
                  <c:v>-1.8608372435899545</c:v>
                </c:pt>
                <c:pt idx="43">
                  <c:v>-1.9510839144233014</c:v>
                </c:pt>
                <c:pt idx="44">
                  <c:v>-2.047196618860816</c:v>
                </c:pt>
                <c:pt idx="45">
                  <c:v>-2.149556649086769</c:v>
                </c:pt>
                <c:pt idx="46">
                  <c:v>-2.2585700812774085</c:v>
                </c:pt>
                <c:pt idx="47">
                  <c:v>-2.37466938656044</c:v>
                </c:pt>
                <c:pt idx="48">
                  <c:v>-2.4983151466868683</c:v>
                </c:pt>
                <c:pt idx="49">
                  <c:v>-2.6299978812215143</c:v>
                </c:pt>
                <c:pt idx="50">
                  <c:v>-2.7702399935009128</c:v>
                </c:pt>
                <c:pt idx="51">
                  <c:v>-2.919597843078472</c:v>
                </c:pt>
                <c:pt idx="52">
                  <c:v>-3.078663952878572</c:v>
                </c:pt>
                <c:pt idx="53">
                  <c:v>-3.248069359815679</c:v>
                </c:pt>
                <c:pt idx="54">
                  <c:v>-3.428486118203698</c:v>
                </c:pt>
                <c:pt idx="55">
                  <c:v>-3.620629965886938</c:v>
                </c:pt>
                <c:pt idx="56">
                  <c:v>-3.8252631636695886</c:v>
                </c:pt>
                <c:pt idx="57">
                  <c:v>-4.043197519308111</c:v>
                </c:pt>
                <c:pt idx="58">
                  <c:v>-4.275297608063139</c:v>
                </c:pt>
                <c:pt idx="59">
                  <c:v>-4.5224842025872425</c:v>
                </c:pt>
                <c:pt idx="60">
                  <c:v>-4.785737925755413</c:v>
                </c:pt>
                <c:pt idx="61">
                  <c:v>-5.066103140929514</c:v>
                </c:pt>
                <c:pt idx="62">
                  <c:v>-5.364692095089932</c:v>
                </c:pt>
                <c:pt idx="63">
                  <c:v>-5.682689331270778</c:v>
                </c:pt>
                <c:pt idx="64">
                  <c:v>-6.021356387803378</c:v>
                </c:pt>
                <c:pt idx="65">
                  <c:v>-6.382036803010597</c:v>
                </c:pt>
                <c:pt idx="66">
                  <c:v>-6.7661614452062855</c:v>
                </c:pt>
                <c:pt idx="67">
                  <c:v>-7.1752541891446935</c:v>
                </c:pt>
                <c:pt idx="68">
                  <c:v>-7.610937961439098</c:v>
                </c:pt>
                <c:pt idx="69">
                  <c:v>-8.074941178932638</c:v>
                </c:pt>
                <c:pt idx="70">
                  <c:v>-8.56910460556326</c:v>
                </c:pt>
                <c:pt idx="71">
                  <c:v>-9.095388654924871</c:v>
                </c:pt>
                <c:pt idx="72">
                  <c:v>-9.655881167494988</c:v>
                </c:pt>
                <c:pt idx="73">
                  <c:v>-10.252805693382161</c:v>
                </c:pt>
                <c:pt idx="74">
                  <c:v>-10.888530313452</c:v>
                </c:pt>
                <c:pt idx="75">
                  <c:v>-11.56557703382638</c:v>
                </c:pt>
                <c:pt idx="76">
                  <c:v>-12.286631791025092</c:v>
                </c:pt>
                <c:pt idx="77">
                  <c:v>-13.054555107441722</c:v>
                </c:pt>
                <c:pt idx="78">
                  <c:v>-13.872393439425434</c:v>
                </c:pt>
                <c:pt idx="79">
                  <c:v>-14.743391262988085</c:v>
                </c:pt>
                <c:pt idx="80">
                  <c:v>-15.67100394508231</c:v>
                </c:pt>
                <c:pt idx="81">
                  <c:v>-16.658911451512658</c:v>
                </c:pt>
                <c:pt idx="82">
                  <c:v>-17.71103294586098</c:v>
                </c:pt>
                <c:pt idx="83">
                  <c:v>-18.83154233734194</c:v>
                </c:pt>
                <c:pt idx="84">
                  <c:v>-20.024884839269163</c:v>
                </c:pt>
                <c:pt idx="85">
                  <c:v>-21.29579460382166</c:v>
                </c:pt>
                <c:pt idx="86">
                  <c:v>-22.649313503070065</c:v>
                </c:pt>
                <c:pt idx="87">
                  <c:v>-24.090811130769616</c:v>
                </c:pt>
                <c:pt idx="88">
                  <c:v>-25.62600610426964</c:v>
                </c:pt>
                <c:pt idx="89">
                  <c:v>-27.26098875104716</c:v>
                </c:pt>
                <c:pt idx="90">
                  <c:v>-29.002245269865224</c:v>
                </c:pt>
                <c:pt idx="91">
                  <c:v>-30.856683462406462</c:v>
                </c:pt>
                <c:pt idx="92">
                  <c:v>-32.83166013746288</c:v>
                </c:pt>
                <c:pt idx="93">
                  <c:v>-34.93501029639797</c:v>
                </c:pt>
                <c:pt idx="94">
                  <c:v>-37.17507821566383</c:v>
                </c:pt>
                <c:pt idx="95">
                  <c:v>-39.56075054968198</c:v>
                </c:pt>
                <c:pt idx="96">
                  <c:v>-42.1014915854113</c:v>
                </c:pt>
                <c:pt idx="97">
                  <c:v>-44.807380788463036</c:v>
                </c:pt>
                <c:pt idx="98">
                  <c:v>-47.68915278971313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24.03490519830312</c:v>
                </c:pt>
                <c:pt idx="1">
                  <c:v>24.0348180739221</c:v>
                </c:pt>
                <c:pt idx="2">
                  <c:v>24.03472552557057</c:v>
                </c:pt>
                <c:pt idx="3">
                  <c:v>24.03462723206373</c:v>
                </c:pt>
                <c:pt idx="4">
                  <c:v>24.03452285540316</c:v>
                </c:pt>
                <c:pt idx="5">
                  <c:v>24.03441204019927</c:v>
                </c:pt>
                <c:pt idx="6">
                  <c:v>24.034294413119387</c:v>
                </c:pt>
                <c:pt idx="7">
                  <c:v>24.034169582370325</c:v>
                </c:pt>
                <c:pt idx="8">
                  <c:v>24.03403713722572</c:v>
                </c:pt>
                <c:pt idx="9">
                  <c:v>24.03389664760984</c:v>
                </c:pt>
                <c:pt idx="10">
                  <c:v>24.033747663751168</c:v>
                </c:pt>
                <c:pt idx="11">
                  <c:v>24.033589715920893</c:v>
                </c:pt>
                <c:pt idx="12">
                  <c:v>24.03342231427322</c:v>
                </c:pt>
                <c:pt idx="13">
                  <c:v>24.033244948806725</c:v>
                </c:pt>
                <c:pt idx="14">
                  <c:v>24.03305708946797</c:v>
                </c:pt>
                <c:pt idx="15">
                  <c:v>24.03285818642128</c:v>
                </c:pt>
                <c:pt idx="16">
                  <c:v>24.03264767051092</c:v>
                </c:pt>
                <c:pt idx="17">
                  <c:v>24.03242495394481</c:v>
                </c:pt>
                <c:pt idx="18">
                  <c:v>24.032189431231647</c:v>
                </c:pt>
                <c:pt idx="19">
                  <c:v>24.03194048040625</c:v>
                </c:pt>
                <c:pt idx="20">
                  <c:v>24.031677464580934</c:v>
                </c:pt>
                <c:pt idx="21">
                  <c:v>24.031399733863758</c:v>
                </c:pt>
                <c:pt idx="22">
                  <c:v>24.031106627687176</c:v>
                </c:pt>
                <c:pt idx="23">
                  <c:v>24.030797477593687</c:v>
                </c:pt>
                <c:pt idx="24">
                  <c:v>24.030471610527197</c:v>
                </c:pt>
                <c:pt idx="25">
                  <c:v>24.03012835268115</c:v>
                </c:pt>
                <c:pt idx="26">
                  <c:v>24.02976703395577</c:v>
                </c:pt>
                <c:pt idx="27">
                  <c:v>24.029386993077637</c:v>
                </c:pt>
                <c:pt idx="28">
                  <c:v>24.028987583434436</c:v>
                </c:pt>
                <c:pt idx="29">
                  <c:v>24.02856817967629</c:v>
                </c:pt>
                <c:pt idx="30">
                  <c:v>24.028128185132022</c:v>
                </c:pt>
                <c:pt idx="31">
                  <c:v>24.027667040083614</c:v>
                </c:pt>
                <c:pt idx="32">
                  <c:v>24.027184230935084</c:v>
                </c:pt>
                <c:pt idx="33">
                  <c:v>24.02667930030181</c:v>
                </c:pt>
                <c:pt idx="34">
                  <c:v>24.02615185803345</c:v>
                </c:pt>
                <c:pt idx="35">
                  <c:v>24.025601593166677</c:v>
                </c:pt>
                <c:pt idx="36">
                  <c:v>24.02502828678323</c:v>
                </c:pt>
                <c:pt idx="37">
                  <c:v>24.024431825723255</c:v>
                </c:pt>
                <c:pt idx="38">
                  <c:v>24.023812217073417</c:v>
                </c:pt>
                <c:pt idx="39">
                  <c:v>24.023169603313395</c:v>
                </c:pt>
                <c:pt idx="40">
                  <c:v>24.022504277962753</c:v>
                </c:pt>
                <c:pt idx="41">
                  <c:v>24.021816701522834</c:v>
                </c:pt>
                <c:pt idx="42">
                  <c:v>24.021107517455334</c:v>
                </c:pt>
                <c:pt idx="43">
                  <c:v>24.020377567880942</c:v>
                </c:pt>
                <c:pt idx="44">
                  <c:v>24.019627908618872</c:v>
                </c:pt>
                <c:pt idx="45">
                  <c:v>24.018859823122323</c:v>
                </c:pt>
                <c:pt idx="46">
                  <c:v>24.01807483479796</c:v>
                </c:pt>
                <c:pt idx="47">
                  <c:v>24.017274717131908</c:v>
                </c:pt>
                <c:pt idx="48">
                  <c:v>24.016461500983514</c:v>
                </c:pt>
                <c:pt idx="49">
                  <c:v>24.015637478356012</c:v>
                </c:pt>
                <c:pt idx="50">
                  <c:v>24.014805201914385</c:v>
                </c:pt>
                <c:pt idx="51">
                  <c:v>24.0139674795016</c:v>
                </c:pt>
                <c:pt idx="52">
                  <c:v>24.013127362911224</c:v>
                </c:pt>
                <c:pt idx="53">
                  <c:v>24.01228813021426</c:v>
                </c:pt>
                <c:pt idx="54">
                  <c:v>24.011453261018325</c:v>
                </c:pt>
                <c:pt idx="55">
                  <c:v>24.01062640416478</c:v>
                </c:pt>
                <c:pt idx="56">
                  <c:v>24.009811337550666</c:v>
                </c:pt>
                <c:pt idx="57">
                  <c:v>24.009011920001413</c:v>
                </c:pt>
                <c:pt idx="58">
                  <c:v>24.008232035419425</c:v>
                </c:pt>
                <c:pt idx="59">
                  <c:v>24.00747552979106</c:v>
                </c:pt>
                <c:pt idx="60">
                  <c:v>24.006746142043422</c:v>
                </c:pt>
                <c:pt idx="61">
                  <c:v>24.006047430190726</c:v>
                </c:pt>
                <c:pt idx="62">
                  <c:v>24.00538269467808</c:v>
                </c:pt>
                <c:pt idx="63">
                  <c:v>24.00475490129235</c:v>
                </c:pt>
                <c:pt idx="64">
                  <c:v>24.004166606431344</c:v>
                </c:pt>
                <c:pt idx="65">
                  <c:v>24.00361988786403</c:v>
                </c:pt>
                <c:pt idx="66">
                  <c:v>24.003116284331746</c:v>
                </c:pt>
                <c:pt idx="67">
                  <c:v>24.00265674738798</c:v>
                </c:pt>
                <c:pt idx="68">
                  <c:v>24.002241608710438</c:v>
                </c:pt>
                <c:pt idx="69">
                  <c:v>24.00187056571094</c:v>
                </c:pt>
                <c:pt idx="70">
                  <c:v>24.001542687598523</c:v>
                </c:pt>
                <c:pt idx="71">
                  <c:v>24.001256443123378</c:v>
                </c:pt>
                <c:pt idx="72">
                  <c:v>24.001009750075117</c:v>
                </c:pt>
                <c:pt idx="73">
                  <c:v>24.000800045291268</c:v>
                </c:pt>
                <c:pt idx="74">
                  <c:v>24.000624372543587</c:v>
                </c:pt>
                <c:pt idx="75">
                  <c:v>24.00047948433154</c:v>
                </c:pt>
                <c:pt idx="76">
                  <c:v>24.000361952460704</c:v>
                </c:pt>
                <c:pt idx="77">
                  <c:v>24.00026828145892</c:v>
                </c:pt>
                <c:pt idx="78">
                  <c:v>24.00019501850752</c:v>
                </c:pt>
                <c:pt idx="79">
                  <c:v>24.000138853724533</c:v>
                </c:pt>
                <c:pt idx="80">
                  <c:v>24.000096705360757</c:v>
                </c:pt>
                <c:pt idx="81">
                  <c:v>24.00006578571683</c:v>
                </c:pt>
                <c:pt idx="82">
                  <c:v>24.000043645245658</c:v>
                </c:pt>
                <c:pt idx="83">
                  <c:v>24.000028194189845</c:v>
                </c:pt>
                <c:pt idx="84">
                  <c:v>24.000017702996</c:v>
                </c:pt>
                <c:pt idx="85">
                  <c:v>24.000010784414894</c:v>
                </c:pt>
                <c:pt idx="86">
                  <c:v>24.0000063614357</c:v>
                </c:pt>
                <c:pt idx="87">
                  <c:v>24.000003625876456</c:v>
                </c:pt>
                <c:pt idx="88">
                  <c:v>24.000001992515113</c:v>
                </c:pt>
                <c:pt idx="89">
                  <c:v>24.00000105314824</c:v>
                </c:pt>
                <c:pt idx="90">
                  <c:v>24.000000534045302</c:v>
                </c:pt>
                <c:pt idx="91">
                  <c:v>24.000000259117922</c:v>
                </c:pt>
                <c:pt idx="92">
                  <c:v>24.00000011995036</c:v>
                </c:pt>
                <c:pt idx="93">
                  <c:v>24.00000005281575</c:v>
                </c:pt>
                <c:pt idx="94">
                  <c:v>24.00000002204803</c:v>
                </c:pt>
                <c:pt idx="95">
                  <c:v>24.000000008695924</c:v>
                </c:pt>
                <c:pt idx="96">
                  <c:v>24.00000000322848</c:v>
                </c:pt>
                <c:pt idx="97">
                  <c:v>24.000000001123855</c:v>
                </c:pt>
                <c:pt idx="98">
                  <c:v>24.000000000365286</c:v>
                </c:pt>
              </c:numCache>
            </c:numRef>
          </c:yVal>
          <c:smooth val="1"/>
        </c:ser>
        <c:axId val="62219983"/>
        <c:axId val="23108936"/>
      </c:scatterChart>
      <c:valAx>
        <c:axId val="62219983"/>
        <c:scaling>
          <c:orientation val="minMax"/>
          <c:max val="10"/>
          <c:min val="-1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08936"/>
        <c:crosses val="autoZero"/>
        <c:crossBetween val="midCat"/>
        <c:dispUnits/>
      </c:valAx>
      <c:valAx>
        <c:axId val="23108936"/>
        <c:scaling>
          <c:orientation val="maxMin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2199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76"/>
          <c:w val="0.868"/>
          <c:h val="0.86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PlotTable!$F$5:$F$105</c:f>
              <c:numCache>
                <c:ptCount val="101"/>
                <c:pt idx="0">
                  <c:v>4.066554505175923</c:v>
                </c:pt>
                <c:pt idx="1">
                  <c:v>3.9946921232022072</c:v>
                </c:pt>
                <c:pt idx="2">
                  <c:v>3.9233097960291072</c:v>
                </c:pt>
                <c:pt idx="3">
                  <c:v>3.852398945416349</c:v>
                </c:pt>
                <c:pt idx="4">
                  <c:v>3.7819510497824975</c:v>
                </c:pt>
                <c:pt idx="5">
                  <c:v>3.7119576431808765</c:v>
                </c:pt>
                <c:pt idx="6">
                  <c:v>3.6424103142822</c:v>
                </c:pt>
                <c:pt idx="7">
                  <c:v>3.5733007053637498</c:v>
                </c:pt>
                <c:pt idx="8">
                  <c:v>3.5046205113050046</c:v>
                </c:pt>
                <c:pt idx="9">
                  <c:v>3.4363614785895864</c:v>
                </c:pt>
                <c:pt idx="10">
                  <c:v>3.368515404313407</c:v>
                </c:pt>
                <c:pt idx="11">
                  <c:v>3.301074135198907</c:v>
                </c:pt>
                <c:pt idx="12">
                  <c:v>3.2340295666152388</c:v>
                </c:pt>
                <c:pt idx="13">
                  <c:v>3.167373641604317</c:v>
                </c:pt>
                <c:pt idx="14">
                  <c:v>3.1010983499125833</c:v>
                </c:pt>
                <c:pt idx="15">
                  <c:v>3.0351957270283925</c:v>
                </c:pt>
                <c:pt idx="16">
                  <c:v>2.9696578532248887</c:v>
                </c:pt>
                <c:pt idx="17">
                  <c:v>2.9044768526082674</c:v>
                </c:pt>
                <c:pt idx="18">
                  <c:v>2.839644892171306</c:v>
                </c:pt>
                <c:pt idx="19">
                  <c:v>2.7751541808520455</c:v>
                </c:pt>
                <c:pt idx="20">
                  <c:v>2.710996968597512</c:v>
                </c:pt>
                <c:pt idx="21">
                  <c:v>2.647165545432373</c:v>
                </c:pt>
                <c:pt idx="22">
                  <c:v>2.5836522405324</c:v>
                </c:pt>
                <c:pt idx="23">
                  <c:v>2.5204494213026445</c:v>
                </c:pt>
                <c:pt idx="24">
                  <c:v>2.4575494924602035</c:v>
                </c:pt>
                <c:pt idx="25">
                  <c:v>2.394944895121474</c:v>
                </c:pt>
                <c:pt idx="26">
                  <c:v>2.332628105893769</c:v>
                </c:pt>
                <c:pt idx="27">
                  <c:v>2.2705916359712197</c:v>
                </c:pt>
                <c:pt idx="28">
                  <c:v>2.2088280302348116</c:v>
                </c:pt>
                <c:pt idx="29">
                  <c:v>2.1473298663564853</c:v>
                </c:pt>
                <c:pt idx="30">
                  <c:v>2.0860897539071686</c:v>
                </c:pt>
                <c:pt idx="31">
                  <c:v>2.0251003334686484</c:v>
                </c:pt>
                <c:pt idx="32">
                  <c:v>1.964354275749161</c:v>
                </c:pt>
                <c:pt idx="33">
                  <c:v>1.9038442807026166</c:v>
                </c:pt>
                <c:pt idx="34">
                  <c:v>1.8435630766513185</c:v>
                </c:pt>
                <c:pt idx="35">
                  <c:v>1.7835034194121124</c:v>
                </c:pt>
                <c:pt idx="36">
                  <c:v>1.7236580914258235</c:v>
                </c:pt>
                <c:pt idx="37">
                  <c:v>1.6640199008899026</c:v>
                </c:pt>
                <c:pt idx="38">
                  <c:v>1.604581680894165</c:v>
                </c:pt>
                <c:pt idx="39">
                  <c:v>1.5453362885595165</c:v>
                </c:pt>
                <c:pt idx="40">
                  <c:v>1.486276604179577</c:v>
                </c:pt>
                <c:pt idx="41">
                  <c:v>1.4273955303650754</c:v>
                </c:pt>
                <c:pt idx="42">
                  <c:v>1.3686859911909388</c:v>
                </c:pt>
                <c:pt idx="43">
                  <c:v>1.3101409313459582</c:v>
                </c:pt>
                <c:pt idx="44">
                  <c:v>1.2517533152849227</c:v>
                </c:pt>
                <c:pt idx="45">
                  <c:v>1.1935161263831426</c:v>
                </c:pt>
                <c:pt idx="46">
                  <c:v>1.1389490701463154</c:v>
                </c:pt>
                <c:pt idx="47">
                  <c:v>1.0947809488659133</c:v>
                </c:pt>
                <c:pt idx="48">
                  <c:v>1.0523577224431386</c:v>
                </c:pt>
                <c:pt idx="49">
                  <c:v>1.011611775461678</c:v>
                </c:pt>
                <c:pt idx="50">
                  <c:v>0.9724781658037229</c:v>
                </c:pt>
                <c:pt idx="51">
                  <c:v>0.9348945211432619</c:v>
                </c:pt>
                <c:pt idx="52">
                  <c:v>0.8988009395351926</c:v>
                </c:pt>
                <c:pt idx="53">
                  <c:v>0.8641398939417937</c:v>
                </c:pt>
                <c:pt idx="54">
                  <c:v>0.830856140544402</c:v>
                </c:pt>
                <c:pt idx="55">
                  <c:v>0.7988966306941468</c:v>
                </c:pt>
                <c:pt idx="56">
                  <c:v>0.7682104263614189</c:v>
                </c:pt>
                <c:pt idx="57">
                  <c:v>0.7387486189493008</c:v>
                </c:pt>
                <c:pt idx="58">
                  <c:v>0.7104642513415742</c:v>
                </c:pt>
                <c:pt idx="59">
                  <c:v>0.6833122430610519</c:v>
                </c:pt>
                <c:pt idx="60">
                  <c:v>0.6572493184189567</c:v>
                </c:pt>
                <c:pt idx="61">
                  <c:v>0.6322339375408228</c:v>
                </c:pt>
                <c:pt idx="62">
                  <c:v>0.6082262301589948</c:v>
                </c:pt>
                <c:pt idx="63">
                  <c:v>0.585187932066192</c:v>
                </c:pt>
                <c:pt idx="64">
                  <c:v>0.5630823241288639</c:v>
                </c:pt>
                <c:pt idx="65">
                  <c:v>0.5418741737631265</c:v>
                </c:pt>
                <c:pt idx="66">
                  <c:v>0.5215296787800118</c:v>
                </c:pt>
                <c:pt idx="67">
                  <c:v>0.5020164135105177</c:v>
                </c:pt>
                <c:pt idx="68">
                  <c:v>0.48330327712460225</c:v>
                </c:pt>
                <c:pt idx="69">
                  <c:v>0.46536044406174254</c:v>
                </c:pt>
                <c:pt idx="70">
                  <c:v>0.4481593164940577</c:v>
                </c:pt>
                <c:pt idx="71">
                  <c:v>0.43167247874622977</c:v>
                </c:pt>
                <c:pt idx="72">
                  <c:v>0.4158736535995746</c:v>
                </c:pt>
                <c:pt idx="73">
                  <c:v>0.40073766041061876</c:v>
                </c:pt>
                <c:pt idx="74">
                  <c:v>0.38624037497743136</c:v>
                </c:pt>
                <c:pt idx="75">
                  <c:v>0.3723586910897444</c:v>
                </c:pt>
                <c:pt idx="76">
                  <c:v>0.3590704837015787</c:v>
                </c:pt>
                <c:pt idx="77">
                  <c:v>0.3463545736676788</c:v>
                </c:pt>
                <c:pt idx="78">
                  <c:v>0.3341906939875539</c:v>
                </c:pt>
                <c:pt idx="79">
                  <c:v>0.32255945750332116</c:v>
                </c:pt>
                <c:pt idx="80">
                  <c:v>0.31144232599987</c:v>
                </c:pt>
                <c:pt idx="81">
                  <c:v>0.3008215806580959</c:v>
                </c:pt>
                <c:pt idx="82">
                  <c:v>0.29068029381411303</c:v>
                </c:pt>
                <c:pt idx="83">
                  <c:v>0.28100230197943354</c:v>
                </c:pt>
                <c:pt idx="84">
                  <c:v>0.27177218007911236</c:v>
                </c:pt>
                <c:pt idx="85">
                  <c:v>0.26297521686679864</c:v>
                </c:pt>
                <c:pt idx="86">
                  <c:v>0.2545973914775076</c:v>
                </c:pt>
                <c:pt idx="87">
                  <c:v>0.2466253510807438</c:v>
                </c:pt>
                <c:pt idx="88">
                  <c:v>0.23904638959835742</c:v>
                </c:pt>
                <c:pt idx="89">
                  <c:v>0.23184842745321446</c:v>
                </c:pt>
                <c:pt idx="90">
                  <c:v>0.22501999231640257</c:v>
                </c:pt>
                <c:pt idx="91">
                  <c:v>0.21855020082228735</c:v>
                </c:pt>
                <c:pt idx="92">
                  <c:v>0.2124287412222769</c:v>
                </c:pt>
                <c:pt idx="93">
                  <c:v>0.20664585694964588</c:v>
                </c:pt>
                <c:pt idx="94">
                  <c:v>0.20119233106922566</c:v>
                </c:pt>
                <c:pt idx="95">
                  <c:v>0.1960594715871753</c:v>
                </c:pt>
                <c:pt idx="96">
                  <c:v>0.1912390975974201</c:v>
                </c:pt>
                <c:pt idx="97">
                  <c:v>0.18672352624267663</c:v>
                </c:pt>
                <c:pt idx="98">
                  <c:v>0.1825055604692839</c:v>
                </c:pt>
                <c:pt idx="99">
                  <c:v>0.17857847755632197</c:v>
                </c:pt>
                <c:pt idx="100">
                  <c:v>0.17493601840073708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2.880000000000001</c:v>
                </c:pt>
                <c:pt idx="13">
                  <c:v>3.120000000000001</c:v>
                </c:pt>
                <c:pt idx="14">
                  <c:v>3.360000000000001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4.080000000000002</c:v>
                </c:pt>
                <c:pt idx="18">
                  <c:v>4.320000000000002</c:v>
                </c:pt>
                <c:pt idx="19">
                  <c:v>4.560000000000002</c:v>
                </c:pt>
                <c:pt idx="20">
                  <c:v>4.8000000000000025</c:v>
                </c:pt>
                <c:pt idx="21">
                  <c:v>5.040000000000003</c:v>
                </c:pt>
                <c:pt idx="22">
                  <c:v>5.280000000000003</c:v>
                </c:pt>
                <c:pt idx="23">
                  <c:v>5.520000000000003</c:v>
                </c:pt>
                <c:pt idx="24">
                  <c:v>5.760000000000003</c:v>
                </c:pt>
                <c:pt idx="25">
                  <c:v>6.0000000000000036</c:v>
                </c:pt>
                <c:pt idx="26">
                  <c:v>6.240000000000004</c:v>
                </c:pt>
                <c:pt idx="27">
                  <c:v>6.480000000000004</c:v>
                </c:pt>
                <c:pt idx="28">
                  <c:v>6.720000000000004</c:v>
                </c:pt>
                <c:pt idx="29">
                  <c:v>6.960000000000004</c:v>
                </c:pt>
                <c:pt idx="30">
                  <c:v>7.200000000000005</c:v>
                </c:pt>
                <c:pt idx="31">
                  <c:v>7.440000000000005</c:v>
                </c:pt>
                <c:pt idx="32">
                  <c:v>7.680000000000005</c:v>
                </c:pt>
                <c:pt idx="33">
                  <c:v>7.920000000000005</c:v>
                </c:pt>
                <c:pt idx="34">
                  <c:v>8.160000000000005</c:v>
                </c:pt>
                <c:pt idx="35">
                  <c:v>8.400000000000006</c:v>
                </c:pt>
                <c:pt idx="36">
                  <c:v>8.640000000000006</c:v>
                </c:pt>
                <c:pt idx="37">
                  <c:v>8.880000000000006</c:v>
                </c:pt>
                <c:pt idx="38">
                  <c:v>9.120000000000006</c:v>
                </c:pt>
                <c:pt idx="39">
                  <c:v>9.360000000000007</c:v>
                </c:pt>
                <c:pt idx="40">
                  <c:v>9.600000000000007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12.48000000000001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</c:v>
                </c:pt>
                <c:pt idx="59">
                  <c:v>14.16000000000001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</c:v>
                </c:pt>
                <c:pt idx="69">
                  <c:v>16.56000000000001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</c:v>
                </c:pt>
                <c:pt idx="75">
                  <c:v>18</c:v>
                </c:pt>
                <c:pt idx="76">
                  <c:v>18.24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</c:v>
                </c:pt>
                <c:pt idx="82">
                  <c:v>19.67999999999999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22.79999999999997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</c:v>
                </c:pt>
              </c:numCache>
            </c:numRef>
          </c:yVal>
          <c:smooth val="1"/>
        </c:ser>
        <c:axId val="6653833"/>
        <c:axId val="59884498"/>
      </c:scatterChart>
      <c:valAx>
        <c:axId val="66538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displacement (mm)</a:t>
                </a:r>
              </a:p>
            </c:rich>
          </c:tx>
          <c:layout>
            <c:manualLayout>
              <c:xMode val="factor"/>
              <c:yMode val="factor"/>
              <c:x val="0.248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98"/>
        <c:crosses val="autoZero"/>
        <c:crossBetween val="midCat"/>
        <c:dispUnits/>
      </c:valAx>
      <c:valAx>
        <c:axId val="5988449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383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84"/>
          <c:w val="0.87575"/>
          <c:h val="0.8535"/>
        </c:manualLayout>
      </c:layout>
      <c:scatterChart>
        <c:scatterStyle val="smoothMarker"/>
        <c:varyColors val="0"/>
        <c:ser>
          <c:idx val="0"/>
          <c:order val="0"/>
          <c:tx>
            <c:v>At the pile head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PlotTable!$K$7:$K$105</c:f>
              <c:numCache>
                <c:ptCount val="99"/>
                <c:pt idx="0">
                  <c:v>4.057023039373793</c:v>
                </c:pt>
                <c:pt idx="1">
                  <c:v>4.046896592933782</c:v>
                </c:pt>
                <c:pt idx="2">
                  <c:v>4.0361397196691815</c:v>
                </c:pt>
                <c:pt idx="3">
                  <c:v>4.024715088346521</c:v>
                </c:pt>
                <c:pt idx="4">
                  <c:v>4.012583413487258</c:v>
                </c:pt>
                <c:pt idx="5">
                  <c:v>3.999703388243108</c:v>
                </c:pt>
                <c:pt idx="6">
                  <c:v>3.986031620244719</c:v>
                </c:pt>
                <c:pt idx="7">
                  <c:v>3.9715225714615667</c:v>
                </c:pt>
                <c:pt idx="8">
                  <c:v>3.9561285032643743</c:v>
                </c:pt>
                <c:pt idx="9">
                  <c:v>3.939799428051053</c:v>
                </c:pt>
                <c:pt idx="10">
                  <c:v>3.922483068984139</c:v>
                </c:pt>
                <c:pt idx="11">
                  <c:v>3.9041248295927153</c:v>
                </c:pt>
                <c:pt idx="12">
                  <c:v>3.884667775215591</c:v>
                </c:pt>
                <c:pt idx="13">
                  <c:v>3.8640526285054504</c:v>
                </c:pt>
                <c:pt idx="14">
                  <c:v>3.842217781475869</c:v>
                </c:pt>
                <c:pt idx="15">
                  <c:v>3.8190993268542526</c:v>
                </c:pt>
                <c:pt idx="16">
                  <c:v>3.794631111802899</c:v>
                </c:pt>
                <c:pt idx="17">
                  <c:v>3.7687448173860916</c:v>
                </c:pt>
                <c:pt idx="18">
                  <c:v>3.7413700674908186</c:v>
                </c:pt>
                <c:pt idx="19">
                  <c:v>3.712434571249007</c:v>
                </c:pt>
                <c:pt idx="20">
                  <c:v>3.6818643033552507</c:v>
                </c:pt>
                <c:pt idx="21">
                  <c:v>3.6495837270195866</c:v>
                </c:pt>
                <c:pt idx="22">
                  <c:v>3.61551606463183</c:v>
                </c:pt>
                <c:pt idx="23">
                  <c:v>3.5795836215320587</c:v>
                </c:pt>
                <c:pt idx="24">
                  <c:v>3.54170816856829</c:v>
                </c:pt>
                <c:pt idx="25">
                  <c:v>3.5018113893616154</c:v>
                </c:pt>
                <c:pt idx="26">
                  <c:v>3.4598153983722804</c:v>
                </c:pt>
                <c:pt idx="27">
                  <c:v>3.4156433359449236</c:v>
                </c:pt>
                <c:pt idx="28">
                  <c:v>3.369220046481085</c:v>
                </c:pt>
                <c:pt idx="29">
                  <c:v>3.3204728457114037</c:v>
                </c:pt>
                <c:pt idx="30">
                  <c:v>3.269332382683431</c:v>
                </c:pt>
                <c:pt idx="31">
                  <c:v>3.215733601503787</c:v>
                </c:pt>
                <c:pt idx="32">
                  <c:v>3.159616807030856</c:v>
                </c:pt>
                <c:pt idx="33">
                  <c:v>3.100928837557577</c:v>
                </c:pt>
                <c:pt idx="34">
                  <c:v>3.039624346000354</c:v>
                </c:pt>
                <c:pt idx="35">
                  <c:v>2.9756671891644597</c:v>
                </c:pt>
                <c:pt idx="36">
                  <c:v>2.9090319222318914</c:v>
                </c:pt>
                <c:pt idx="37">
                  <c:v>2.8397053926590616</c:v>
                </c:pt>
                <c:pt idx="38">
                  <c:v>2.7676884241274284</c:v>
                </c:pt>
                <c:pt idx="39">
                  <c:v>2.6929975770167105</c:v>
                </c:pt>
                <c:pt idx="40">
                  <c:v>2.6156669670371193</c:v>
                </c:pt>
                <c:pt idx="41">
                  <c:v>2.535750118152452</c:v>
                </c:pt>
                <c:pt idx="42">
                  <c:v>2.4533218197649806</c:v>
                </c:pt>
                <c:pt idx="43">
                  <c:v>2.3684799513657233</c:v>
                </c:pt>
                <c:pt idx="44">
                  <c:v>2.2813472305748754</c:v>
                </c:pt>
                <c:pt idx="45">
                  <c:v>2.192072832857356</c:v>
                </c:pt>
                <c:pt idx="46">
                  <c:v>2.1008338234148995</c:v>
                </c:pt>
                <c:pt idx="47">
                  <c:v>2.0078363341241374</c:v>
                </c:pt>
                <c:pt idx="48">
                  <c:v>1.9133164112926657</c:v>
                </c:pt>
                <c:pt idx="49">
                  <c:v>1.8175404539207505</c:v>
                </c:pt>
                <c:pt idx="50">
                  <c:v>1.720805157662375</c:v>
                </c:pt>
                <c:pt idx="51">
                  <c:v>1.6234368774493404</c:v>
                </c:pt>
                <c:pt idx="52">
                  <c:v>1.5257903225344194</c:v>
                </c:pt>
                <c:pt idx="53">
                  <c:v>1.428246502344613</c:v>
                </c:pt>
                <c:pt idx="54">
                  <c:v>1.3312098508591534</c:v>
                </c:pt>
                <c:pt idx="55">
                  <c:v>1.235104472056483</c:v>
                </c:pt>
                <c:pt idx="56">
                  <c:v>1.1403694700269813</c:v>
                </c:pt>
                <c:pt idx="57">
                  <c:v>1.047453355148193</c:v>
                </c:pt>
                <c:pt idx="58">
                  <c:v>0.9568075524889815</c:v>
                </c:pt>
                <c:pt idx="59">
                  <c:v>0.8688790801438682</c:v>
                </c:pt>
                <c:pt idx="60">
                  <c:v>0.7841025127366567</c:v>
                </c:pt>
                <c:pt idx="61">
                  <c:v>0.7028913974278108</c:v>
                </c:pt>
                <c:pt idx="62">
                  <c:v>0.6256293441807125</c:v>
                </c:pt>
                <c:pt idx="63">
                  <c:v>0.5526610657097368</c:v>
                </c:pt>
                <c:pt idx="64">
                  <c:v>0.4842836915342291</c:v>
                </c:pt>
                <c:pt idx="65">
                  <c:v>0.4207387202554642</c:v>
                </c:pt>
                <c:pt idx="66">
                  <c:v>0.3622049994197486</c:v>
                </c:pt>
                <c:pt idx="67">
                  <c:v>0.30879312786668284</c:v>
                </c:pt>
                <c:pt idx="68">
                  <c:v>0.2605416564185426</c:v>
                </c:pt>
                <c:pt idx="69">
                  <c:v>0.21741541532133757</c:v>
                </c:pt>
                <c:pt idx="70">
                  <c:v>0.17930621895965687</c:v>
                </c:pt>
                <c:pt idx="71">
                  <c:v>0.14603609052553324</c:v>
                </c:pt>
                <c:pt idx="72">
                  <c:v>0.11736301519300008</c:v>
                </c:pt>
                <c:pt idx="73">
                  <c:v>0.0929890771864142</c:v>
                </c:pt>
                <c:pt idx="74">
                  <c:v>0.0725706747884762</c:v>
                </c:pt>
                <c:pt idx="75">
                  <c:v>0.05573035177122267</c:v>
                </c:pt>
                <c:pt idx="76">
                  <c:v>0.04206964989802595</c:v>
                </c:pt>
                <c:pt idx="77">
                  <c:v>0.031182291257083095</c:v>
                </c:pt>
                <c:pt idx="78">
                  <c:v>0.022666955541486553</c:v>
                </c:pt>
                <c:pt idx="79">
                  <c:v>0.016138935944054567</c:v>
                </c:pt>
                <c:pt idx="80">
                  <c:v>0.011240041475042496</c:v>
                </c:pt>
                <c:pt idx="81">
                  <c:v>0.0076462584891638105</c:v>
                </c:pt>
                <c:pt idx="82">
                  <c:v>0.005072876700271681</c:v>
                </c:pt>
                <c:pt idx="83">
                  <c:v>0.0032770040949619836</c:v>
                </c:pt>
                <c:pt idx="84">
                  <c:v>0.00205761508675878</c:v>
                </c:pt>
                <c:pt idx="85">
                  <c:v>0.0012534700222389718</c:v>
                </c:pt>
                <c:pt idx="86">
                  <c:v>0.0007393881846534391</c:v>
                </c:pt>
                <c:pt idx="87">
                  <c:v>0.0004214347729331398</c:v>
                </c:pt>
                <c:pt idx="88">
                  <c:v>0.00023158956560212013</c:v>
                </c:pt>
                <c:pt idx="89">
                  <c:v>0.0001224071735273744</c:v>
                </c:pt>
                <c:pt idx="90">
                  <c:v>6.207196070638979E-05</c:v>
                </c:pt>
                <c:pt idx="91">
                  <c:v>3.011721550810826E-05</c:v>
                </c:pt>
                <c:pt idx="92">
                  <c:v>1.3941802532494499E-05</c:v>
                </c:pt>
                <c:pt idx="93">
                  <c:v>6.138762126203573E-06</c:v>
                </c:pt>
                <c:pt idx="94">
                  <c:v>2.5626376642317695E-06</c:v>
                </c:pt>
                <c:pt idx="95">
                  <c:v>1.0107250296389993E-06</c:v>
                </c:pt>
                <c:pt idx="96">
                  <c:v>3.752453460057683E-07</c:v>
                </c:pt>
                <c:pt idx="97">
                  <c:v>1.3062519674197237E-07</c:v>
                </c:pt>
                <c:pt idx="98">
                  <c:v>4.245705411606391E-08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PlotTable!$L$7:$L$105</c:f>
              <c:numCache>
                <c:ptCount val="99"/>
                <c:pt idx="0">
                  <c:v>0.17452599151561232</c:v>
                </c:pt>
                <c:pt idx="1">
                  <c:v>0.17409036961050586</c:v>
                </c:pt>
                <c:pt idx="2">
                  <c:v>0.17362762785284458</c:v>
                </c:pt>
                <c:pt idx="3">
                  <c:v>0.17313616031866083</c:v>
                </c:pt>
                <c:pt idx="4">
                  <c:v>0.1726142770158032</c:v>
                </c:pt>
                <c:pt idx="5">
                  <c:v>0.1720602009963512</c:v>
                </c:pt>
                <c:pt idx="6">
                  <c:v>0.17147206559693806</c:v>
                </c:pt>
                <c:pt idx="7">
                  <c:v>0.1708479118516296</c:v>
                </c:pt>
                <c:pt idx="8">
                  <c:v>0.17018568612860566</c:v>
                </c:pt>
                <c:pt idx="9">
                  <c:v>0.1694832380491938</c:v>
                </c:pt>
                <c:pt idx="10">
                  <c:v>0.16873831875584414</c:v>
                </c:pt>
                <c:pt idx="11">
                  <c:v>0.16794857960445797</c:v>
                </c:pt>
                <c:pt idx="12">
                  <c:v>0.16711157136610572</c:v>
                </c:pt>
                <c:pt idx="13">
                  <c:v>0.16622474403362342</c:v>
                </c:pt>
                <c:pt idx="14">
                  <c:v>0.16528544733985417</c:v>
                </c:pt>
                <c:pt idx="15">
                  <c:v>0.16429093210639642</c:v>
                </c:pt>
                <c:pt idx="16">
                  <c:v>0.16323835255458943</c:v>
                </c:pt>
                <c:pt idx="17">
                  <c:v>0.16212476972404782</c:v>
                </c:pt>
                <c:pt idx="18">
                  <c:v>0.16094715615823926</c:v>
                </c:pt>
                <c:pt idx="19">
                  <c:v>0.15970240203123834</c:v>
                </c:pt>
                <c:pt idx="20">
                  <c:v>0.15838732290467777</c:v>
                </c:pt>
                <c:pt idx="21">
                  <c:v>0.15699866931878473</c:v>
                </c:pt>
                <c:pt idx="22">
                  <c:v>0.15553313843588393</c:v>
                </c:pt>
                <c:pt idx="23">
                  <c:v>0.1539873879684343</c:v>
                </c:pt>
                <c:pt idx="24">
                  <c:v>0.15235805263598695</c:v>
                </c:pt>
                <c:pt idx="25">
                  <c:v>0.15064176340574412</c:v>
                </c:pt>
                <c:pt idx="26">
                  <c:v>0.14883516977885022</c:v>
                </c:pt>
                <c:pt idx="27">
                  <c:v>0.14693496538819092</c:v>
                </c:pt>
                <c:pt idx="28">
                  <c:v>0.14493791717218096</c:v>
                </c:pt>
                <c:pt idx="29">
                  <c:v>0.14284089838146383</c:v>
                </c:pt>
                <c:pt idx="30">
                  <c:v>0.14064092566011047</c:v>
                </c:pt>
                <c:pt idx="31">
                  <c:v>0.13833520041807448</c:v>
                </c:pt>
                <c:pt idx="32">
                  <c:v>0.13592115467541638</c:v>
                </c:pt>
                <c:pt idx="33">
                  <c:v>0.13339650150905355</c:v>
                </c:pt>
                <c:pt idx="34">
                  <c:v>0.1307592901672525</c:v>
                </c:pt>
                <c:pt idx="35">
                  <c:v>0.1280079658333816</c:v>
                </c:pt>
                <c:pt idx="36">
                  <c:v>0.12514143391614874</c:v>
                </c:pt>
                <c:pt idx="37">
                  <c:v>0.12215912861627495</c:v>
                </c:pt>
                <c:pt idx="38">
                  <c:v>0.119061085367087</c:v>
                </c:pt>
                <c:pt idx="39">
                  <c:v>0.11584801656697707</c:v>
                </c:pt>
                <c:pt idx="40">
                  <c:v>0.1125213898137609</c:v>
                </c:pt>
                <c:pt idx="41">
                  <c:v>0.10908350761416839</c:v>
                </c:pt>
                <c:pt idx="42">
                  <c:v>0.10553758727666922</c:v>
                </c:pt>
                <c:pt idx="43">
                  <c:v>0.10188783940471655</c:v>
                </c:pt>
                <c:pt idx="44">
                  <c:v>0.09813954309437001</c:v>
                </c:pt>
                <c:pt idx="45">
                  <c:v>0.09429911561160813</c:v>
                </c:pt>
                <c:pt idx="46">
                  <c:v>0.09037417398980634</c:v>
                </c:pt>
                <c:pt idx="47">
                  <c:v>0.08637358565954188</c:v>
                </c:pt>
                <c:pt idx="48">
                  <c:v>0.0823075049175681</c:v>
                </c:pt>
                <c:pt idx="49">
                  <c:v>0.0781873917800616</c:v>
                </c:pt>
                <c:pt idx="50">
                  <c:v>0.07402600957192522</c:v>
                </c:pt>
                <c:pt idx="51">
                  <c:v>0.06983739750799847</c:v>
                </c:pt>
                <c:pt idx="52">
                  <c:v>0.06563681455611049</c:v>
                </c:pt>
                <c:pt idx="53">
                  <c:v>0.06144065107130213</c:v>
                </c:pt>
                <c:pt idx="54">
                  <c:v>0.05726630509162814</c:v>
                </c:pt>
                <c:pt idx="55">
                  <c:v>0.053132020823893615</c:v>
                </c:pt>
                <c:pt idx="56">
                  <c:v>0.04905668775332168</c:v>
                </c:pt>
                <c:pt idx="57">
                  <c:v>0.04505960000705586</c:v>
                </c:pt>
                <c:pt idx="58">
                  <c:v>0.04116017709713094</c:v>
                </c:pt>
                <c:pt idx="59">
                  <c:v>0.03737764895530095</c:v>
                </c:pt>
                <c:pt idx="60">
                  <c:v>0.03373071021710797</c:v>
                </c:pt>
                <c:pt idx="61">
                  <c:v>0.030237150953625763</c:v>
                </c:pt>
                <c:pt idx="62">
                  <c:v>0.026913473390393787</c:v>
                </c:pt>
                <c:pt idx="63">
                  <c:v>0.023774506461751457</c:v>
                </c:pt>
                <c:pt idx="64">
                  <c:v>0.02083303215672595</c:v>
                </c:pt>
                <c:pt idx="65">
                  <c:v>0.01809943932014956</c:v>
                </c:pt>
                <c:pt idx="66">
                  <c:v>0.01558142165872457</c:v>
                </c:pt>
                <c:pt idx="67">
                  <c:v>0.013283736939896314</c:v>
                </c:pt>
                <c:pt idx="68">
                  <c:v>0.011208043552196512</c:v>
                </c:pt>
                <c:pt idx="69">
                  <c:v>0.009352828554701008</c:v>
                </c:pt>
                <c:pt idx="70">
                  <c:v>0.007713437992622247</c:v>
                </c:pt>
                <c:pt idx="71">
                  <c:v>0.006282215616888971</c:v>
                </c:pt>
                <c:pt idx="72">
                  <c:v>0.005048750375591106</c:v>
                </c:pt>
                <c:pt idx="73">
                  <c:v>0.004000226456339206</c:v>
                </c:pt>
                <c:pt idx="74">
                  <c:v>0.0031218627179328984</c:v>
                </c:pt>
                <c:pt idx="75">
                  <c:v>0.0023974216577009578</c:v>
                </c:pt>
                <c:pt idx="76">
                  <c:v>0.0018097623035192184</c:v>
                </c:pt>
                <c:pt idx="77">
                  <c:v>0.00134140729459871</c:v>
                </c:pt>
                <c:pt idx="78">
                  <c:v>0.0009750925375885597</c:v>
                </c:pt>
                <c:pt idx="79">
                  <c:v>0.0006942686226592969</c:v>
                </c:pt>
                <c:pt idx="80">
                  <c:v>0.0004835268037844775</c:v>
                </c:pt>
                <c:pt idx="81">
                  <c:v>0.00032892858415020464</c:v>
                </c:pt>
                <c:pt idx="82">
                  <c:v>0.00021822622828585603</c:v>
                </c:pt>
                <c:pt idx="83">
                  <c:v>0.00014097094922148603</c:v>
                </c:pt>
                <c:pt idx="84">
                  <c:v>8.851497999614204E-05</c:v>
                </c:pt>
                <c:pt idx="85">
                  <c:v>5.392207447264572E-05</c:v>
                </c:pt>
                <c:pt idx="86">
                  <c:v>3.180717851222456E-05</c:v>
                </c:pt>
                <c:pt idx="87">
                  <c:v>1.8129382281414378E-05</c:v>
                </c:pt>
                <c:pt idx="88">
                  <c:v>9.962575555799307E-06</c:v>
                </c:pt>
                <c:pt idx="89">
                  <c:v>5.265741190315269E-06</c:v>
                </c:pt>
                <c:pt idx="90">
                  <c:v>2.670226513989163E-06</c:v>
                </c:pt>
                <c:pt idx="91">
                  <c:v>1.2955896102215077E-06</c:v>
                </c:pt>
                <c:pt idx="92">
                  <c:v>5.997518098576156E-07</c:v>
                </c:pt>
                <c:pt idx="93">
                  <c:v>2.640787435408636E-07</c:v>
                </c:pt>
                <c:pt idx="94">
                  <c:v>1.102401625292065E-07</c:v>
                </c:pt>
                <c:pt idx="95">
                  <c:v>4.3479612078964235E-08</c:v>
                </c:pt>
                <c:pt idx="96">
                  <c:v>1.614239442016681E-08</c:v>
                </c:pt>
                <c:pt idx="97">
                  <c:v>5.61926608674953E-09</c:v>
                </c:pt>
                <c:pt idx="98">
                  <c:v>1.82642775121676E-09</c:v>
                </c:pt>
              </c:numCache>
            </c:numRef>
          </c:yVal>
          <c:smooth val="1"/>
        </c:ser>
        <c:axId val="2089571"/>
        <c:axId val="18806140"/>
      </c:scatterChart>
      <c:valAx>
        <c:axId val="20895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distance from pile axis (m)</a:t>
                </a:r>
              </a:p>
            </c:rich>
          </c:tx>
          <c:layout>
            <c:manualLayout>
              <c:xMode val="factor"/>
              <c:yMode val="factor"/>
              <c:x val="0.251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140"/>
        <c:crosses val="autoZero"/>
        <c:crossBetween val="midCat"/>
        <c:dispUnits/>
      </c:valAx>
      <c:valAx>
        <c:axId val="188061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displacement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957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6285"/>
          <c:w val="0.56675"/>
          <c:h val="0.2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7"/>
          <c:w val="0.8772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PlotTable!$G$5:$G$105</c:f>
              <c:numCache>
                <c:ptCount val="101"/>
                <c:pt idx="0">
                  <c:v>6000</c:v>
                </c:pt>
                <c:pt idx="1">
                  <c:v>5959.695347426461</c:v>
                </c:pt>
                <c:pt idx="2">
                  <c:v>5920.106890312672</c:v>
                </c:pt>
                <c:pt idx="3">
                  <c:v>5881.229871188393</c:v>
                </c:pt>
                <c:pt idx="4">
                  <c:v>5843.059618079143</c:v>
                </c:pt>
                <c:pt idx="5">
                  <c:v>5805.591543944748</c:v>
                </c:pt>
                <c:pt idx="6">
                  <c:v>5768.821146128108</c:v>
                </c:pt>
                <c:pt idx="7">
                  <c:v>5732.744005814092</c:v>
                </c:pt>
                <c:pt idx="8">
                  <c:v>5697.355787498521</c:v>
                </c:pt>
                <c:pt idx="9">
                  <c:v>5662.65223846715</c:v>
                </c:pt>
                <c:pt idx="10">
                  <c:v>5628.629188284614</c:v>
                </c:pt>
                <c:pt idx="11">
                  <c:v>5595.282548293247</c:v>
                </c:pt>
                <c:pt idx="12">
                  <c:v>5562.608311121737</c:v>
                </c:pt>
                <c:pt idx="13">
                  <c:v>5530.602550203548</c:v>
                </c:pt>
                <c:pt idx="14">
                  <c:v>5499.261419305055</c:v>
                </c:pt>
                <c:pt idx="15">
                  <c:v>5468.58115206332</c:v>
                </c:pt>
                <c:pt idx="16">
                  <c:v>5438.558061533491</c:v>
                </c:pt>
                <c:pt idx="17">
                  <c:v>5409.188539745716</c:v>
                </c:pt>
                <c:pt idx="18">
                  <c:v>5380.469057271574</c:v>
                </c:pt>
                <c:pt idx="19">
                  <c:v>5352.39616279992</c:v>
                </c:pt>
                <c:pt idx="20">
                  <c:v>5324.966482722141</c:v>
                </c:pt>
                <c:pt idx="21">
                  <c:v>5298.176720726735</c:v>
                </c:pt>
                <c:pt idx="22">
                  <c:v>5272.023657403176</c:v>
                </c:pt>
                <c:pt idx="23">
                  <c:v>5246.50414985504</c:v>
                </c:pt>
                <c:pt idx="24">
                  <c:v>5221.615131322303</c:v>
                </c:pt>
                <c:pt idx="25">
                  <c:v>5197.353610812804</c:v>
                </c:pt>
                <c:pt idx="26">
                  <c:v>5173.716672742806</c:v>
                </c:pt>
                <c:pt idx="27">
                  <c:v>5150.70147658662</c:v>
                </c:pt>
                <c:pt idx="28">
                  <c:v>5128.305256535251</c:v>
                </c:pt>
                <c:pt idx="29">
                  <c:v>5106.525321164024</c:v>
                </c:pt>
                <c:pt idx="30">
                  <c:v>5085.359053109147</c:v>
                </c:pt>
                <c:pt idx="31">
                  <c:v>5064.803908753168</c:v>
                </c:pt>
                <c:pt idx="32">
                  <c:v>5044.857417919308</c:v>
                </c:pt>
                <c:pt idx="33">
                  <c:v>5025.51718357461</c:v>
                </c:pt>
                <c:pt idx="34">
                  <c:v>5006.780881541872</c:v>
                </c:pt>
                <c:pt idx="35">
                  <c:v>4988.64626022036</c:v>
                </c:pt>
                <c:pt idx="36">
                  <c:v>4971.111140315209</c:v>
                </c:pt>
                <c:pt idx="37">
                  <c:v>4954.173414575539</c:v>
                </c:pt>
                <c:pt idx="38">
                  <c:v>4937.83104754122</c:v>
                </c:pt>
                <c:pt idx="39">
                  <c:v>4922.08207529826</c:v>
                </c:pt>
                <c:pt idx="40">
                  <c:v>4906.924605242802</c:v>
                </c:pt>
                <c:pt idx="41">
                  <c:v>4892.356815853674</c:v>
                </c:pt>
                <c:pt idx="42">
                  <c:v>4878.376956473503</c:v>
                </c:pt>
                <c:pt idx="43">
                  <c:v>4864.983347098321</c:v>
                </c:pt>
                <c:pt idx="44">
                  <c:v>4852.174378175685</c:v>
                </c:pt>
                <c:pt idx="45">
                  <c:v>4839.948510411242</c:v>
                </c:pt>
                <c:pt idx="46">
                  <c:v>4815.257518867749</c:v>
                </c:pt>
                <c:pt idx="47">
                  <c:v>4625.097544715337</c:v>
                </c:pt>
                <c:pt idx="48">
                  <c:v>4442.309190365186</c:v>
                </c:pt>
                <c:pt idx="49">
                  <c:v>4266.601122231459</c:v>
                </c:pt>
                <c:pt idx="50">
                  <c:v>4097.693291501792</c:v>
                </c:pt>
                <c:pt idx="51">
                  <c:v>3935.3164877870577</c:v>
                </c:pt>
                <c:pt idx="52">
                  <c:v>3779.211910045738</c:v>
                </c:pt>
                <c:pt idx="53">
                  <c:v>3629.1307540990297</c:v>
                </c:pt>
                <c:pt idx="54">
                  <c:v>3484.833816079246</c:v>
                </c:pt>
                <c:pt idx="55">
                  <c:v>3346.091111179486</c:v>
                </c:pt>
                <c:pt idx="56">
                  <c:v>3212.681507096927</c:v>
                </c:pt>
                <c:pt idx="57">
                  <c:v>3084.3923715854853</c:v>
                </c:pt>
                <c:pt idx="58">
                  <c:v>2961.019233556154</c:v>
                </c:pt>
                <c:pt idx="59">
                  <c:v>2842.365457184805</c:v>
                </c:pt>
                <c:pt idx="60">
                  <c:v>2728.241928508101</c:v>
                </c:pt>
                <c:pt idx="61">
                  <c:v>2618.466754007954</c:v>
                </c:pt>
                <c:pt idx="62">
                  <c:v>2512.8649707041673</c:v>
                </c:pt>
                <c:pt idx="63">
                  <c:v>2411.2682672931514</c:v>
                </c:pt>
                <c:pt idx="64">
                  <c:v>2313.514715888316</c:v>
                </c:pt>
                <c:pt idx="65">
                  <c:v>2219.4485139345093</c:v>
                </c:pt>
                <c:pt idx="66">
                  <c:v>2128.9197358852266</c:v>
                </c:pt>
                <c:pt idx="67">
                  <c:v>2041.7840942467435</c:v>
                </c:pt>
                <c:pt idx="68">
                  <c:v>1957.9027096083735</c:v>
                </c:pt>
                <c:pt idx="69">
                  <c:v>1877.141889292273</c:v>
                </c:pt>
                <c:pt idx="70">
                  <c:v>1799.372914270025</c:v>
                </c:pt>
                <c:pt idx="71">
                  <c:v>1724.471834006373</c:v>
                </c:pt>
                <c:pt idx="72">
                  <c:v>1652.3192689031266</c:v>
                </c:pt>
                <c:pt idx="73">
                  <c:v>1582.8002200283595</c:v>
                </c:pt>
                <c:pt idx="74">
                  <c:v>1515.8038858276464</c:v>
                </c:pt>
                <c:pt idx="75">
                  <c:v>1451.2234855252102</c:v>
                </c:pt>
                <c:pt idx="76">
                  <c:v>1388.9560889335025</c:v>
                </c:pt>
                <c:pt idx="77">
                  <c:v>1328.9024523999694</c:v>
                </c:pt>
                <c:pt idx="78">
                  <c:v>1270.9668606295313</c:v>
                </c:pt>
                <c:pt idx="79">
                  <c:v>1215.0569741306588</c:v>
                </c:pt>
                <c:pt idx="80">
                  <c:v>1161.0836820419115</c:v>
                </c:pt>
                <c:pt idx="81">
                  <c:v>1108.960960104361</c:v>
                </c:pt>
                <c:pt idx="82">
                  <c:v>1058.605733553536</c:v>
                </c:pt>
                <c:pt idx="83">
                  <c:v>1009.9377447123616</c:v>
                </c:pt>
                <c:pt idx="84">
                  <c:v>962.8794250740511</c:v>
                </c:pt>
                <c:pt idx="85">
                  <c:v>917.3557716710891</c:v>
                </c:pt>
                <c:pt idx="86">
                  <c:v>873.2942275332383</c:v>
                </c:pt>
                <c:pt idx="87">
                  <c:v>830.6245660440552</c:v>
                </c:pt>
                <c:pt idx="88">
                  <c:v>789.2787790115939</c:v>
                </c:pt>
                <c:pt idx="89">
                  <c:v>749.1909682749009</c:v>
                </c:pt>
                <c:pt idx="90">
                  <c:v>710.2972406735405</c:v>
                </c:pt>
                <c:pt idx="91">
                  <c:v>672.5356062127503</c:v>
                </c:pt>
                <c:pt idx="92">
                  <c:v>635.8458792619214</c:v>
                </c:pt>
                <c:pt idx="93">
                  <c:v>600.1695826289266</c:v>
                </c:pt>
                <c:pt idx="94">
                  <c:v>565.4498543574094</c:v>
                </c:pt>
                <c:pt idx="95">
                  <c:v>531.6313570984856</c:v>
                </c:pt>
                <c:pt idx="96">
                  <c:v>498.6601899124101</c:v>
                </c:pt>
                <c:pt idx="97">
                  <c:v>466.4838023596325</c:v>
                </c:pt>
                <c:pt idx="98">
                  <c:v>435.0509107443271</c:v>
                </c:pt>
                <c:pt idx="99">
                  <c:v>404.31141637689154</c:v>
                </c:pt>
                <c:pt idx="100">
                  <c:v>374.21632572514636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2.880000000000001</c:v>
                </c:pt>
                <c:pt idx="13">
                  <c:v>3.120000000000001</c:v>
                </c:pt>
                <c:pt idx="14">
                  <c:v>3.360000000000001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4.080000000000002</c:v>
                </c:pt>
                <c:pt idx="18">
                  <c:v>4.320000000000002</c:v>
                </c:pt>
                <c:pt idx="19">
                  <c:v>4.560000000000002</c:v>
                </c:pt>
                <c:pt idx="20">
                  <c:v>4.8000000000000025</c:v>
                </c:pt>
                <c:pt idx="21">
                  <c:v>5.040000000000003</c:v>
                </c:pt>
                <c:pt idx="22">
                  <c:v>5.280000000000003</c:v>
                </c:pt>
                <c:pt idx="23">
                  <c:v>5.520000000000003</c:v>
                </c:pt>
                <c:pt idx="24">
                  <c:v>5.760000000000003</c:v>
                </c:pt>
                <c:pt idx="25">
                  <c:v>6.0000000000000036</c:v>
                </c:pt>
                <c:pt idx="26">
                  <c:v>6.240000000000004</c:v>
                </c:pt>
                <c:pt idx="27">
                  <c:v>6.480000000000004</c:v>
                </c:pt>
                <c:pt idx="28">
                  <c:v>6.720000000000004</c:v>
                </c:pt>
                <c:pt idx="29">
                  <c:v>6.960000000000004</c:v>
                </c:pt>
                <c:pt idx="30">
                  <c:v>7.200000000000005</c:v>
                </c:pt>
                <c:pt idx="31">
                  <c:v>7.440000000000005</c:v>
                </c:pt>
                <c:pt idx="32">
                  <c:v>7.680000000000005</c:v>
                </c:pt>
                <c:pt idx="33">
                  <c:v>7.920000000000005</c:v>
                </c:pt>
                <c:pt idx="34">
                  <c:v>8.160000000000005</c:v>
                </c:pt>
                <c:pt idx="35">
                  <c:v>8.400000000000006</c:v>
                </c:pt>
                <c:pt idx="36">
                  <c:v>8.640000000000006</c:v>
                </c:pt>
                <c:pt idx="37">
                  <c:v>8.880000000000006</c:v>
                </c:pt>
                <c:pt idx="38">
                  <c:v>9.120000000000006</c:v>
                </c:pt>
                <c:pt idx="39">
                  <c:v>9.360000000000007</c:v>
                </c:pt>
                <c:pt idx="40">
                  <c:v>9.600000000000007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12.48000000000001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</c:v>
                </c:pt>
                <c:pt idx="59">
                  <c:v>14.16000000000001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</c:v>
                </c:pt>
                <c:pt idx="69">
                  <c:v>16.56000000000001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</c:v>
                </c:pt>
                <c:pt idx="75">
                  <c:v>18</c:v>
                </c:pt>
                <c:pt idx="76">
                  <c:v>18.24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</c:v>
                </c:pt>
                <c:pt idx="82">
                  <c:v>19.67999999999999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22.79999999999997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</c:v>
                </c:pt>
              </c:numCache>
            </c:numRef>
          </c:yVal>
          <c:smooth val="1"/>
        </c:ser>
        <c:axId val="35037533"/>
        <c:axId val="46902342"/>
      </c:scatterChart>
      <c:valAx>
        <c:axId val="350375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5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 val="autoZero"/>
        <c:crossBetween val="midCat"/>
        <c:dispUnits/>
      </c:valAx>
      <c:valAx>
        <c:axId val="469023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753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9525</xdr:rowOff>
    </xdr:from>
    <xdr:to>
      <xdr:col>11</xdr:col>
      <xdr:colOff>85725</xdr:colOff>
      <xdr:row>22</xdr:row>
      <xdr:rowOff>57150</xdr:rowOff>
    </xdr:to>
    <xdr:pic>
      <xdr:nvPicPr>
        <xdr:cNvPr id="1" name="Picture 3" descr="PB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4375"/>
          <a:ext cx="2371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</xdr:row>
      <xdr:rowOff>104775</xdr:rowOff>
    </xdr:from>
    <xdr:to>
      <xdr:col>13</xdr:col>
      <xdr:colOff>561975</xdr:colOff>
      <xdr:row>18</xdr:row>
      <xdr:rowOff>76200</xdr:rowOff>
    </xdr:to>
    <xdr:pic>
      <xdr:nvPicPr>
        <xdr:cNvPr id="2" name="Picture 4" descr="Fig1_Rec_Cir"/>
        <xdr:cNvPicPr preferRelativeResize="1">
          <a:picLocks noChangeAspect="1"/>
        </xdr:cNvPicPr>
      </xdr:nvPicPr>
      <xdr:blipFill>
        <a:blip r:embed="rId2"/>
        <a:srcRect l="61450" t="-3799" r="-1647" b="48674"/>
        <a:stretch>
          <a:fillRect/>
        </a:stretch>
      </xdr:blipFill>
      <xdr:spPr>
        <a:xfrm>
          <a:off x="6924675" y="1581150"/>
          <a:ext cx="1666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8</xdr:row>
      <xdr:rowOff>304800</xdr:rowOff>
    </xdr:from>
    <xdr:to>
      <xdr:col>9</xdr:col>
      <xdr:colOff>1476375</xdr:colOff>
      <xdr:row>9</xdr:row>
      <xdr:rowOff>314325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94322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8</xdr:col>
      <xdr:colOff>257175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28650" y="104775"/>
        <a:ext cx="4505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</xdr:row>
      <xdr:rowOff>76200</xdr:rowOff>
    </xdr:from>
    <xdr:to>
      <xdr:col>4</xdr:col>
      <xdr:colOff>600075</xdr:colOff>
      <xdr:row>3</xdr:row>
      <xdr:rowOff>133350</xdr:rowOff>
    </xdr:to>
    <xdr:sp>
      <xdr:nvSpPr>
        <xdr:cNvPr id="2" name="Line 7"/>
        <xdr:cNvSpPr>
          <a:spLocks/>
        </xdr:cNvSpPr>
      </xdr:nvSpPr>
      <xdr:spPr>
        <a:xfrm>
          <a:off x="3038475" y="4000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219075</xdr:colOff>
      <xdr:row>0</xdr:row>
      <xdr:rowOff>142875</xdr:rowOff>
    </xdr:from>
    <xdr:ext cx="533400" cy="228600"/>
    <xdr:sp>
      <xdr:nvSpPr>
        <xdr:cNvPr id="3" name="Text Box 8"/>
        <xdr:cNvSpPr txBox="1">
          <a:spLocks noChangeArrowheads="1"/>
        </xdr:cNvSpPr>
      </xdr:nvSpPr>
      <xdr:spPr>
        <a:xfrm>
          <a:off x="2657475" y="1428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  <xdr:oneCellAnchor>
    <xdr:from>
      <xdr:col>5</xdr:col>
      <xdr:colOff>209550</xdr:colOff>
      <xdr:row>25</xdr:row>
      <xdr:rowOff>142875</xdr:rowOff>
    </xdr:from>
    <xdr:ext cx="552450" cy="228600"/>
    <xdr:sp>
      <xdr:nvSpPr>
        <xdr:cNvPr id="4" name="Text Box 10"/>
        <xdr:cNvSpPr txBox="1">
          <a:spLocks noChangeArrowheads="1"/>
        </xdr:cNvSpPr>
      </xdr:nvSpPr>
      <xdr:spPr>
        <a:xfrm>
          <a:off x="3257550" y="41910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47625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8100" y="38100"/>
        <a:ext cx="3057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0</xdr:row>
      <xdr:rowOff>9525</xdr:rowOff>
    </xdr:from>
    <xdr:to>
      <xdr:col>15</xdr:col>
      <xdr:colOff>495300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6381750" y="9525"/>
        <a:ext cx="32575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0</xdr:row>
      <xdr:rowOff>66675</xdr:rowOff>
    </xdr:from>
    <xdr:to>
      <xdr:col>10</xdr:col>
      <xdr:colOff>285750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3095625" y="66675"/>
        <a:ext cx="3286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7</xdr:col>
      <xdr:colOff>228600</xdr:colOff>
      <xdr:row>17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r="63574" b="66535"/>
        <a:stretch>
          <a:fillRect/>
        </a:stretch>
      </xdr:blipFill>
      <xdr:spPr>
        <a:xfrm>
          <a:off x="942975" y="1047750"/>
          <a:ext cx="355282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20</xdr:row>
      <xdr:rowOff>123825</xdr:rowOff>
    </xdr:from>
    <xdr:to>
      <xdr:col>6</xdr:col>
      <xdr:colOff>9525</xdr:colOff>
      <xdr:row>38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34082" t="35026" r="37402" b="15885"/>
        <a:stretch>
          <a:fillRect/>
        </a:stretch>
      </xdr:blipFill>
      <xdr:spPr>
        <a:xfrm>
          <a:off x="885825" y="4086225"/>
          <a:ext cx="278130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D24"/>
  <sheetViews>
    <sheetView showRowColHeaders="0" tabSelected="1" zoomScalePageLayoutView="0" workbookViewId="0" topLeftCell="A1">
      <selection activeCell="A32" sqref="A32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16384" width="9.140625" style="2" customWidth="1"/>
  </cols>
  <sheetData>
    <row r="3" spans="2:4" ht="30">
      <c r="B3" s="47" t="s">
        <v>72</v>
      </c>
      <c r="D3" s="54" t="s">
        <v>71</v>
      </c>
    </row>
    <row r="4" ht="15.75">
      <c r="B4" s="48"/>
    </row>
    <row r="5" ht="12.75"/>
    <row r="6" ht="19.5">
      <c r="B6" s="55" t="s">
        <v>122</v>
      </c>
    </row>
    <row r="7" ht="12.75"/>
    <row r="8" ht="12.75"/>
    <row r="9" ht="12.75"/>
    <row r="10" ht="12.75"/>
    <row r="11" ht="12.75"/>
    <row r="12" ht="15.75">
      <c r="B12" s="56" t="s">
        <v>94</v>
      </c>
    </row>
    <row r="13" ht="12.75"/>
    <row r="14" ht="12.75"/>
    <row r="15" ht="12.75"/>
    <row r="16" s="50" customFormat="1" ht="12.75"/>
    <row r="17" s="50" customFormat="1" ht="12.75"/>
    <row r="18" ht="12.75">
      <c r="B18" s="49" t="s">
        <v>69</v>
      </c>
    </row>
    <row r="19" ht="12.75">
      <c r="B19" s="49" t="s">
        <v>70</v>
      </c>
    </row>
    <row r="20" ht="12.75"/>
    <row r="21" ht="12.75"/>
    <row r="22" ht="12.75"/>
    <row r="23" ht="12.75">
      <c r="B23" s="50"/>
    </row>
    <row r="24" ht="12.75">
      <c r="B24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25"/>
  <sheetViews>
    <sheetView showRowColHeaders="0" zoomScalePageLayoutView="0" workbookViewId="0" topLeftCell="A1">
      <selection activeCell="G3" sqref="G3"/>
    </sheetView>
  </sheetViews>
  <sheetFormatPr defaultColWidth="9.140625" defaultRowHeight="12.75"/>
  <cols>
    <col min="1" max="1" width="2.7109375" style="2" customWidth="1"/>
    <col min="2" max="2" width="22.140625" style="2" customWidth="1"/>
    <col min="3" max="3" width="9.57421875" style="2" customWidth="1"/>
    <col min="4" max="4" width="1.421875" style="2" customWidth="1"/>
    <col min="5" max="5" width="6.28125" style="12" bestFit="1" customWidth="1"/>
    <col min="6" max="6" width="12.57421875" style="12" customWidth="1"/>
    <col min="7" max="7" width="19.57421875" style="12" customWidth="1"/>
    <col min="8" max="8" width="15.00390625" style="12" customWidth="1"/>
    <col min="9" max="9" width="2.140625" style="2" customWidth="1"/>
    <col min="10" max="10" width="24.57421875" style="2" customWidth="1"/>
    <col min="11" max="16384" width="9.140625" style="2" customWidth="1"/>
  </cols>
  <sheetData>
    <row r="1" spans="2:10" ht="29.25" customHeight="1">
      <c r="B1" s="3" t="s">
        <v>0</v>
      </c>
      <c r="E1" s="3" t="s">
        <v>121</v>
      </c>
      <c r="J1" s="3" t="s">
        <v>6</v>
      </c>
    </row>
    <row r="2" spans="2:11" ht="25.5" customHeight="1">
      <c r="B2" s="57" t="s">
        <v>95</v>
      </c>
      <c r="C2" s="13">
        <v>1.13</v>
      </c>
      <c r="E2" s="57" t="s">
        <v>2</v>
      </c>
      <c r="F2" s="58" t="s">
        <v>3</v>
      </c>
      <c r="G2" s="58" t="s">
        <v>116</v>
      </c>
      <c r="H2" s="58" t="s">
        <v>117</v>
      </c>
      <c r="J2" s="58" t="s">
        <v>78</v>
      </c>
      <c r="K2" s="37">
        <f>CALS!B20</f>
        <v>4.066554505175923</v>
      </c>
    </row>
    <row r="3" spans="2:11" ht="25.5" customHeight="1">
      <c r="B3" s="57" t="s">
        <v>96</v>
      </c>
      <c r="C3" s="13">
        <v>0.56</v>
      </c>
      <c r="E3" s="13">
        <v>1</v>
      </c>
      <c r="F3" s="13">
        <v>11</v>
      </c>
      <c r="G3" s="39">
        <v>60</v>
      </c>
      <c r="H3" s="13">
        <v>0.5</v>
      </c>
      <c r="J3" s="58" t="s">
        <v>79</v>
      </c>
      <c r="K3" s="37">
        <f>CALS!B21</f>
        <v>0.17493601840073708</v>
      </c>
    </row>
    <row r="4" spans="2:11" ht="25.5" customHeight="1">
      <c r="B4" s="57" t="s">
        <v>73</v>
      </c>
      <c r="C4" s="13">
        <v>24</v>
      </c>
      <c r="E4" s="13">
        <v>2</v>
      </c>
      <c r="F4" s="13">
        <v>24</v>
      </c>
      <c r="G4" s="39">
        <v>1000</v>
      </c>
      <c r="H4" s="13">
        <v>0.15</v>
      </c>
      <c r="J4" s="58" t="s">
        <v>80</v>
      </c>
      <c r="K4" s="40">
        <f>CALS!B22</f>
        <v>374.21632572514636</v>
      </c>
    </row>
    <row r="5" spans="2:11" ht="25.5" customHeight="1">
      <c r="B5" s="58" t="s">
        <v>74</v>
      </c>
      <c r="C5" s="38">
        <v>31</v>
      </c>
      <c r="E5" s="13">
        <v>3</v>
      </c>
      <c r="F5" s="13">
        <v>50</v>
      </c>
      <c r="G5" s="39">
        <v>1000</v>
      </c>
      <c r="H5" s="13">
        <v>0.15</v>
      </c>
      <c r="J5" s="59" t="s">
        <v>97</v>
      </c>
      <c r="K5" s="70">
        <f>CALS!B12</f>
        <v>0.1551128374971689</v>
      </c>
    </row>
    <row r="6" spans="5:11" ht="25.5" customHeight="1">
      <c r="E6" s="13">
        <v>4</v>
      </c>
      <c r="F6" s="13"/>
      <c r="G6" s="39"/>
      <c r="H6" s="13"/>
      <c r="J6" s="59" t="s">
        <v>98</v>
      </c>
      <c r="K6" s="70">
        <f>CALS!B15</f>
        <v>0.149554322325187</v>
      </c>
    </row>
    <row r="7" spans="2:11" ht="25.5" customHeight="1">
      <c r="B7" s="3" t="s">
        <v>5</v>
      </c>
      <c r="E7" s="13">
        <v>5</v>
      </c>
      <c r="F7" s="13"/>
      <c r="G7" s="39"/>
      <c r="H7" s="13"/>
      <c r="J7" s="30"/>
      <c r="K7" s="31"/>
    </row>
    <row r="8" spans="2:11" ht="25.5" customHeight="1">
      <c r="B8" s="58" t="s">
        <v>75</v>
      </c>
      <c r="C8" s="13">
        <v>2</v>
      </c>
      <c r="E8" s="13">
        <v>6</v>
      </c>
      <c r="F8" s="14"/>
      <c r="G8" s="39"/>
      <c r="H8" s="13"/>
      <c r="J8" s="30"/>
      <c r="K8" s="31"/>
    </row>
    <row r="9" spans="2:11" ht="25.5" customHeight="1">
      <c r="B9" s="58" t="s">
        <v>76</v>
      </c>
      <c r="C9" s="13">
        <v>1</v>
      </c>
      <c r="E9" s="13">
        <v>7</v>
      </c>
      <c r="F9" s="14"/>
      <c r="G9" s="39"/>
      <c r="H9" s="13"/>
      <c r="K9" s="73"/>
    </row>
    <row r="10" spans="5:12" ht="25.5" customHeight="1">
      <c r="E10" s="13">
        <v>8</v>
      </c>
      <c r="F10" s="14"/>
      <c r="G10" s="39"/>
      <c r="H10" s="13"/>
      <c r="K10" s="74">
        <v>11</v>
      </c>
      <c r="L10" s="72" t="s">
        <v>115</v>
      </c>
    </row>
    <row r="11" spans="2:8" ht="25.5" customHeight="1">
      <c r="B11" s="3" t="s">
        <v>1</v>
      </c>
      <c r="E11" s="13">
        <v>9</v>
      </c>
      <c r="F11" s="14"/>
      <c r="G11" s="39"/>
      <c r="H11" s="13"/>
    </row>
    <row r="12" spans="2:8" ht="25.5" customHeight="1">
      <c r="B12" s="58" t="s">
        <v>77</v>
      </c>
      <c r="C12" s="39">
        <v>6000</v>
      </c>
      <c r="E12" s="13">
        <v>10</v>
      </c>
      <c r="F12" s="14"/>
      <c r="G12" s="39"/>
      <c r="H12" s="13"/>
    </row>
    <row r="13" spans="5:8" ht="25.5" customHeight="1">
      <c r="E13" s="15"/>
      <c r="F13" s="52"/>
      <c r="G13" s="53"/>
      <c r="H13" s="15"/>
    </row>
    <row r="14" spans="5:8" ht="25.5" customHeight="1">
      <c r="E14" s="15"/>
      <c r="F14" s="52"/>
      <c r="G14" s="53"/>
      <c r="H14" s="15"/>
    </row>
    <row r="15" spans="5:8" ht="25.5" customHeight="1">
      <c r="E15" s="15"/>
      <c r="F15" s="52"/>
      <c r="G15" s="53"/>
      <c r="H15" s="15"/>
    </row>
    <row r="16" spans="5:8" ht="25.5" customHeight="1">
      <c r="E16" s="15"/>
      <c r="F16" s="52"/>
      <c r="G16" s="53"/>
      <c r="H16" s="15"/>
    </row>
    <row r="17" spans="5:8" ht="25.5" customHeight="1">
      <c r="E17" s="15"/>
      <c r="F17" s="52"/>
      <c r="G17" s="53"/>
      <c r="H17" s="15"/>
    </row>
    <row r="18" spans="5:8" ht="25.5" customHeight="1">
      <c r="E18" s="15"/>
      <c r="F18" s="52"/>
      <c r="G18" s="53"/>
      <c r="H18" s="15"/>
    </row>
    <row r="19" spans="5:8" ht="25.5" customHeight="1">
      <c r="E19" s="15"/>
      <c r="F19" s="52"/>
      <c r="G19" s="53"/>
      <c r="H19" s="15"/>
    </row>
    <row r="20" spans="5:8" ht="25.5" customHeight="1">
      <c r="E20" s="15"/>
      <c r="F20" s="52"/>
      <c r="G20" s="53"/>
      <c r="H20" s="15"/>
    </row>
    <row r="21" spans="5:8" ht="25.5" customHeight="1">
      <c r="E21" s="15"/>
      <c r="F21" s="52"/>
      <c r="G21" s="53"/>
      <c r="H21" s="15"/>
    </row>
    <row r="22" spans="5:8" ht="25.5" customHeight="1">
      <c r="E22" s="15"/>
      <c r="F22" s="52"/>
      <c r="G22" s="53"/>
      <c r="H22" s="15"/>
    </row>
    <row r="24" ht="12.75">
      <c r="G24" s="15"/>
    </row>
    <row r="25" ht="12.75">
      <c r="G25" s="15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F2:K27"/>
  <sheetViews>
    <sheetView showRowColHeaders="0" zoomScalePageLayoutView="0" workbookViewId="0" topLeftCell="A1">
      <selection activeCell="P32" sqref="P32"/>
    </sheetView>
  </sheetViews>
  <sheetFormatPr defaultColWidth="9.140625" defaultRowHeight="12.75"/>
  <cols>
    <col min="1" max="10" width="9.140625" style="2" customWidth="1"/>
    <col min="11" max="11" width="10.28125" style="2" customWidth="1"/>
    <col min="12" max="16384" width="9.140625" style="2" customWidth="1"/>
  </cols>
  <sheetData>
    <row r="1" ht="12.75"/>
    <row r="2" spans="6:7" ht="12.75">
      <c r="F2" s="43">
        <f>IF(PlotTable!P2=1,0,MAIN!C12)</f>
        <v>6000</v>
      </c>
      <c r="G2" s="42"/>
    </row>
    <row r="3" ht="12.75"/>
    <row r="4" ht="12.75"/>
    <row r="5" ht="12.75"/>
    <row r="6" ht="12.75"/>
    <row r="7" ht="12.75"/>
    <row r="9" ht="12.75">
      <c r="K9" s="44" t="s">
        <v>67</v>
      </c>
    </row>
    <row r="10" ht="12.75">
      <c r="K10" s="45">
        <v>5</v>
      </c>
    </row>
    <row r="26" ht="12.75">
      <c r="K26" s="41"/>
    </row>
    <row r="27" ht="12.75">
      <c r="G27" s="46">
        <f>IF(PlotTable!P2=1,0,PlotTable!G105)</f>
        <v>374.21632572514636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RowColHeaders="0" zoomScalePageLayoutView="0" workbookViewId="0" topLeftCell="A1">
      <selection activeCell="L28" sqref="L28"/>
    </sheetView>
  </sheetViews>
  <sheetFormatPr defaultColWidth="9.140625" defaultRowHeight="12.7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M25"/>
  <sheetViews>
    <sheetView showRowColHeaders="0" zoomScalePageLayoutView="0" workbookViewId="0" topLeftCell="A1">
      <selection activeCell="M3" sqref="M3"/>
    </sheetView>
  </sheetViews>
  <sheetFormatPr defaultColWidth="9.140625" defaultRowHeight="12.75"/>
  <cols>
    <col min="1" max="1" width="1.8515625" style="36" customWidth="1"/>
    <col min="2" max="6" width="9.7109375" style="36" customWidth="1"/>
    <col min="7" max="7" width="11.140625" style="36" customWidth="1"/>
    <col min="8" max="8" width="10.8515625" style="36" customWidth="1"/>
    <col min="9" max="11" width="9.7109375" style="36" customWidth="1"/>
    <col min="12" max="16384" width="9.140625" style="36" customWidth="1"/>
  </cols>
  <sheetData>
    <row r="1" ht="12.75" thickBot="1"/>
    <row r="2" spans="2:13" ht="15.75">
      <c r="B2" s="68" t="s">
        <v>83</v>
      </c>
      <c r="C2" s="68" t="s">
        <v>84</v>
      </c>
      <c r="D2" s="68" t="s">
        <v>85</v>
      </c>
      <c r="E2" s="68" t="s">
        <v>86</v>
      </c>
      <c r="F2" s="69" t="s">
        <v>87</v>
      </c>
      <c r="G2" s="68" t="s">
        <v>88</v>
      </c>
      <c r="H2" s="68" t="s">
        <v>89</v>
      </c>
      <c r="I2" s="68" t="s">
        <v>90</v>
      </c>
      <c r="J2" s="68" t="s">
        <v>91</v>
      </c>
      <c r="K2" s="68" t="s">
        <v>92</v>
      </c>
      <c r="L2" s="69" t="s">
        <v>113</v>
      </c>
      <c r="M2" s="69" t="s">
        <v>114</v>
      </c>
    </row>
    <row r="3" spans="2:13" ht="12.75">
      <c r="B3" s="36">
        <f>IF(CALS!D3=0,"",CALS!C3)</f>
        <v>1</v>
      </c>
      <c r="C3" s="36">
        <f>IF(B3="","",CALS!D3)</f>
        <v>11</v>
      </c>
      <c r="D3" s="64">
        <f>CALS!J3</f>
        <v>41665449.9968449</v>
      </c>
      <c r="E3" s="64">
        <f>CALS!K3</f>
        <v>176998690.1530663</v>
      </c>
      <c r="F3" s="61">
        <f>CALS!N3</f>
        <v>0.04567623888373447</v>
      </c>
      <c r="G3" s="64">
        <f>CALS!O3</f>
        <v>912190911.8415215</v>
      </c>
      <c r="H3" s="62">
        <f>CALS!X3</f>
        <v>-0.0012555079798187404</v>
      </c>
      <c r="I3" s="62">
        <f>CALS!Y3</f>
        <v>0.005322062484994664</v>
      </c>
      <c r="J3" s="60">
        <f>CALS!Z3</f>
        <v>1250.9342329710096</v>
      </c>
      <c r="K3" s="60">
        <f>CALS!AA3</f>
        <v>24.541306826770242</v>
      </c>
      <c r="L3" s="66">
        <f>IF(B3="","",CALS!$B$12)</f>
        <v>0.1551128374971689</v>
      </c>
      <c r="M3" s="66">
        <f>IF(B3="","",CALS!$B$15)</f>
        <v>0.149554322325187</v>
      </c>
    </row>
    <row r="4" spans="2:13" ht="12.75">
      <c r="B4" s="36">
        <f>IF(CALS!D4=0,"",CALS!C4)</f>
        <v>2</v>
      </c>
      <c r="C4" s="36">
        <f>IF(B4="","",CALS!D4)</f>
        <v>24</v>
      </c>
      <c r="D4" s="64">
        <f>CALS!J4</f>
        <v>709520344.1491704</v>
      </c>
      <c r="E4" s="64">
        <f>CALS!K4</f>
        <v>3014108129.4181585</v>
      </c>
      <c r="F4" s="61">
        <f>CALS!N4</f>
        <v>0.1663339637454361</v>
      </c>
      <c r="G4" s="64">
        <f>CALS!O4</f>
        <v>4265637204.6484</v>
      </c>
      <c r="H4" s="62">
        <f>CALS!X4</f>
        <v>8.050367203533411E-07</v>
      </c>
      <c r="I4" s="62">
        <f>CALS!Y4</f>
        <v>0.007113460540809309</v>
      </c>
      <c r="J4" s="60">
        <f>CALS!Z4</f>
        <v>1078.0159156599038</v>
      </c>
      <c r="K4" s="60">
        <f>CALS!AA4</f>
        <v>55.23152756515835</v>
      </c>
      <c r="L4" s="66">
        <f>IF(B4="","",CALS!$B$12)</f>
        <v>0.1551128374971689</v>
      </c>
      <c r="M4" s="66">
        <f>IF(B4="","",CALS!$B$15)</f>
        <v>0.149554322325187</v>
      </c>
    </row>
    <row r="5" spans="2:13" ht="12.75">
      <c r="B5" s="36">
        <f>IF(CALS!D5=0,"",CALS!C5)</f>
        <v>3</v>
      </c>
      <c r="C5" s="36">
        <f>IF(B5="","",CALS!D5)</f>
        <v>50</v>
      </c>
      <c r="D5" s="64">
        <f>CALS!J5</f>
        <v>709520344.1491704</v>
      </c>
      <c r="E5" s="64">
        <f>CALS!K5</f>
        <v>3014108129.4181585</v>
      </c>
      <c r="F5" s="61">
        <f>CALS!N5</f>
        <v>0.3338047763132098</v>
      </c>
      <c r="G5" s="64">
        <f>CALS!O5</f>
        <v>2125554798.7828248</v>
      </c>
      <c r="H5" s="62">
        <f>CALS!X5</f>
        <v>0</v>
      </c>
      <c r="I5" s="62">
        <f>CALS!Y5</f>
        <v>0.544492811971039</v>
      </c>
      <c r="J5" s="60">
        <f>CALS!Z5</f>
        <v>13.103629539608466</v>
      </c>
      <c r="K5" s="60">
        <f>CALS!AA5</f>
        <v>2.920160319130669</v>
      </c>
      <c r="L5" s="66">
        <f>IF(B5="","",CALS!$B$12)</f>
        <v>0.1551128374971689</v>
      </c>
      <c r="M5" s="66">
        <f>IF(B5="","",CALS!$B$15)</f>
        <v>0.149554322325187</v>
      </c>
    </row>
    <row r="6" spans="2:13" ht="12.75">
      <c r="B6" s="36">
        <f>IF(CALS!D6=0,"",CALS!C6)</f>
      </c>
      <c r="C6" s="36">
        <f>IF(B6="","",CALS!D6)</f>
      </c>
      <c r="D6" s="64">
        <f>CALS!J6</f>
      </c>
      <c r="E6" s="64">
        <f>CALS!K6</f>
      </c>
      <c r="F6" s="61">
        <f>CALS!N6</f>
      </c>
      <c r="G6" s="64">
        <f>CALS!O6</f>
      </c>
      <c r="H6" s="62">
        <f>CALS!X6</f>
      </c>
      <c r="I6" s="62">
        <f>CALS!Y6</f>
      </c>
      <c r="J6" s="60">
        <f>CALS!Z6</f>
      </c>
      <c r="K6" s="60">
        <f>CALS!AA6</f>
      </c>
      <c r="L6" s="66">
        <f>IF(B6="","",CALS!$B$12)</f>
      </c>
      <c r="M6" s="66">
        <f>IF(B6="","",CALS!$B$15)</f>
      </c>
    </row>
    <row r="7" spans="2:13" ht="12.75">
      <c r="B7" s="36">
        <f>IF(CALS!D7=0,"",CALS!C7)</f>
      </c>
      <c r="C7" s="36">
        <f>IF(B7="","",CALS!D7)</f>
      </c>
      <c r="D7" s="64">
        <f>CALS!J7</f>
      </c>
      <c r="E7" s="64">
        <f>CALS!K7</f>
      </c>
      <c r="F7" s="61">
        <f>CALS!N7</f>
      </c>
      <c r="G7" s="64">
        <f>CALS!O7</f>
      </c>
      <c r="H7" s="62">
        <f>CALS!X7</f>
      </c>
      <c r="I7" s="62">
        <f>CALS!Y7</f>
      </c>
      <c r="J7" s="60">
        <f>CALS!Z7</f>
      </c>
      <c r="K7" s="60">
        <f>CALS!AA7</f>
      </c>
      <c r="L7" s="66">
        <f>IF(B7="","",CALS!$B$12)</f>
      </c>
      <c r="M7" s="66">
        <f>IF(B7="","",CALS!$B$15)</f>
      </c>
    </row>
    <row r="8" spans="2:13" ht="12.75">
      <c r="B8" s="36">
        <f>IF(CALS!D8=0,"",CALS!C8)</f>
      </c>
      <c r="C8" s="36">
        <f>IF(B8="","",CALS!D8)</f>
      </c>
      <c r="D8" s="64">
        <f>CALS!J8</f>
      </c>
      <c r="E8" s="64">
        <f>CALS!K8</f>
      </c>
      <c r="F8" s="36">
        <f>CALS!N8</f>
      </c>
      <c r="G8" s="64">
        <f>CALS!O8</f>
      </c>
      <c r="H8" s="36">
        <f>CALS!Y8</f>
      </c>
      <c r="I8" s="36">
        <f>CALS!Z8</f>
      </c>
      <c r="J8" s="36">
        <f>CALS!AA8</f>
      </c>
      <c r="K8" s="66">
        <f>IF(B8="","",CALS!$B$12)</f>
      </c>
      <c r="L8" s="66">
        <f>IF(B8="","",CALS!$B$12)</f>
      </c>
      <c r="M8" s="66">
        <f>IF(B8="","",CALS!$B$15)</f>
      </c>
    </row>
    <row r="9" spans="2:13" ht="12.75">
      <c r="B9" s="36">
        <f>IF(CALS!D9=0,"",CALS!C9)</f>
      </c>
      <c r="C9" s="36">
        <f>IF(B9="","",CALS!D9)</f>
      </c>
      <c r="D9" s="64">
        <f>CALS!J9</f>
      </c>
      <c r="E9" s="64">
        <f>CALS!K9</f>
      </c>
      <c r="F9" s="36">
        <f>CALS!N9</f>
      </c>
      <c r="G9" s="64">
        <f>CALS!O9</f>
      </c>
      <c r="H9" s="36">
        <f>CALS!Y9</f>
      </c>
      <c r="I9" s="36">
        <f>CALS!Z9</f>
      </c>
      <c r="J9" s="36">
        <f>CALS!AA9</f>
      </c>
      <c r="K9" s="66">
        <f>IF(B9="","",CALS!$B$12)</f>
      </c>
      <c r="L9" s="66">
        <f>IF(B9="","",CALS!$B$12)</f>
      </c>
      <c r="M9" s="66">
        <f>IF(B9="","",CALS!$B$15)</f>
      </c>
    </row>
    <row r="10" spans="2:13" ht="12.75">
      <c r="B10" s="36">
        <f>IF(CALS!D10=0,"",CALS!C10)</f>
      </c>
      <c r="C10" s="36">
        <f>IF(B10="","",CALS!D10)</f>
      </c>
      <c r="D10" s="64">
        <f>CALS!J10</f>
      </c>
      <c r="E10" s="64">
        <f>CALS!K10</f>
      </c>
      <c r="F10" s="36">
        <f>CALS!N10</f>
      </c>
      <c r="G10" s="64">
        <f>CALS!O10</f>
      </c>
      <c r="H10" s="36">
        <f>CALS!Y10</f>
      </c>
      <c r="I10" s="36">
        <f>CALS!Z10</f>
      </c>
      <c r="J10" s="36">
        <f>CALS!AA10</f>
      </c>
      <c r="K10" s="66">
        <f>IF(B10="","",CALS!$B$12)</f>
      </c>
      <c r="L10" s="66">
        <f>IF(B10="","",CALS!$B$12)</f>
      </c>
      <c r="M10" s="66">
        <f>IF(B10="","",CALS!$B$15)</f>
      </c>
    </row>
    <row r="11" spans="2:13" ht="12.75">
      <c r="B11" s="36">
        <f>IF(CALS!D11=0,"",CALS!C11)</f>
      </c>
      <c r="C11" s="36">
        <f>IF(B11="","",CALS!D11)</f>
      </c>
      <c r="D11" s="64">
        <f>CALS!J11</f>
      </c>
      <c r="E11" s="64">
        <f>CALS!K11</f>
      </c>
      <c r="F11" s="36">
        <f>CALS!N11</f>
      </c>
      <c r="G11" s="64">
        <f>CALS!O11</f>
      </c>
      <c r="H11" s="36">
        <f>CALS!Y11</f>
      </c>
      <c r="I11" s="36">
        <f>CALS!Z11</f>
      </c>
      <c r="J11" s="36">
        <f>CALS!AA11</f>
      </c>
      <c r="K11" s="66">
        <f>IF(B11="","",CALS!$B$12)</f>
      </c>
      <c r="L11" s="66">
        <f>IF(B11="","",CALS!$B$12)</f>
      </c>
      <c r="M11" s="66">
        <f>IF(B11="","",CALS!$B$15)</f>
      </c>
    </row>
    <row r="12" spans="2:13" ht="12.75">
      <c r="B12" s="63">
        <f>IF(CALS!D12=0,"",CALS!C12)</f>
      </c>
      <c r="C12" s="63">
        <f>IF(B12="","",CALS!D12)</f>
      </c>
      <c r="D12" s="65">
        <f>CALS!J12</f>
      </c>
      <c r="E12" s="65">
        <f>CALS!K12</f>
      </c>
      <c r="F12" s="63">
        <f>CALS!N12</f>
      </c>
      <c r="G12" s="65">
        <f>CALS!O12</f>
      </c>
      <c r="H12" s="63">
        <f>CALS!Y12</f>
      </c>
      <c r="I12" s="63">
        <f>CALS!Z12</f>
      </c>
      <c r="J12" s="63">
        <f>CALS!AA12</f>
      </c>
      <c r="K12" s="67">
        <f>IF(B12="","",CALS!$B$12)</f>
      </c>
      <c r="L12" s="67">
        <f>IF(B12="","",CALS!$B$12)</f>
      </c>
      <c r="M12" s="67">
        <f>IF(B12="","",CALS!$B$15)</f>
      </c>
    </row>
    <row r="13" spans="2:11" ht="12.75">
      <c r="B13" s="36">
        <f>IF(CALS!D13=0,"",CALS!C13)</f>
      </c>
      <c r="C13" s="36">
        <f>IF(B13="","",CALS!D13)</f>
      </c>
      <c r="D13" s="64">
        <f>CALS!J13</f>
      </c>
      <c r="E13" s="64">
        <f>CALS!K13</f>
      </c>
      <c r="F13" s="36">
        <f>CALS!N13</f>
      </c>
      <c r="G13" s="64">
        <f>CALS!O13</f>
      </c>
      <c r="H13" s="36">
        <f>CALS!Y13</f>
      </c>
      <c r="I13" s="36">
        <f>CALS!Z13</f>
      </c>
      <c r="J13" s="36">
        <f>CALS!AA13</f>
      </c>
      <c r="K13" s="66">
        <f>IF(B13="","",CALS!$B$12)</f>
      </c>
    </row>
    <row r="14" spans="2:11" ht="12.75">
      <c r="B14" s="36">
        <f>IF(CALS!D14=0,"",CALS!C14)</f>
      </c>
      <c r="C14" s="36">
        <f>IF(B14="","",CALS!D14)</f>
      </c>
      <c r="D14" s="64">
        <f>CALS!J14</f>
      </c>
      <c r="E14" s="64">
        <f>CALS!K14</f>
      </c>
      <c r="F14" s="36">
        <f>CALS!N14</f>
      </c>
      <c r="G14" s="64">
        <f>CALS!O14</f>
      </c>
      <c r="H14" s="36">
        <f>CALS!Y14</f>
      </c>
      <c r="I14" s="36">
        <f>CALS!Z14</f>
      </c>
      <c r="J14" s="36">
        <f>CALS!AA14</f>
      </c>
      <c r="K14" s="66">
        <f>IF(B14="","",CALS!$B$12)</f>
      </c>
    </row>
    <row r="15" spans="2:11" ht="12.75">
      <c r="B15" s="36">
        <f>IF(CALS!D15=0,"",CALS!C15)</f>
      </c>
      <c r="C15" s="36">
        <f>IF(B15="","",CALS!D15)</f>
      </c>
      <c r="D15" s="64">
        <f>CALS!J15</f>
      </c>
      <c r="E15" s="64">
        <f>CALS!K15</f>
      </c>
      <c r="F15" s="36">
        <f>CALS!N15</f>
      </c>
      <c r="G15" s="64">
        <f>CALS!O15</f>
      </c>
      <c r="H15" s="36">
        <f>CALS!Y15</f>
      </c>
      <c r="I15" s="36">
        <f>CALS!Z15</f>
      </c>
      <c r="J15" s="36">
        <f>CALS!AA15</f>
      </c>
      <c r="K15" s="66">
        <f>IF(B15="","",CALS!$B$12)</f>
      </c>
    </row>
    <row r="16" spans="2:11" ht="12.75">
      <c r="B16" s="36">
        <f>IF(CALS!D16=0,"",CALS!C16)</f>
      </c>
      <c r="C16" s="36">
        <f>IF(B16="","",CALS!D16)</f>
      </c>
      <c r="D16" s="64">
        <f>CALS!J16</f>
      </c>
      <c r="E16" s="64">
        <f>CALS!K16</f>
      </c>
      <c r="F16" s="36">
        <f>CALS!N16</f>
      </c>
      <c r="G16" s="64">
        <f>CALS!O16</f>
      </c>
      <c r="H16"/>
      <c r="I16" s="36">
        <f>CALS!Z16</f>
      </c>
      <c r="J16" s="36">
        <f>CALS!AA16</f>
      </c>
      <c r="K16" s="66">
        <f>IF(B16="","",CALS!$B$12)</f>
      </c>
    </row>
    <row r="17" spans="2:11" ht="12.75">
      <c r="B17" s="36">
        <f>IF(CALS!D17=0,"",CALS!C17)</f>
      </c>
      <c r="C17" s="36">
        <f>IF(B17="","",CALS!D17)</f>
      </c>
      <c r="D17" s="64">
        <f>CALS!J17</f>
      </c>
      <c r="E17" s="64">
        <f>CALS!K17</f>
      </c>
      <c r="F17" s="36">
        <f>CALS!N17</f>
      </c>
      <c r="G17" s="64">
        <f>CALS!O17</f>
      </c>
      <c r="H17" s="36">
        <f>CALS!Y17</f>
      </c>
      <c r="I17" s="36">
        <f>CALS!Z17</f>
      </c>
      <c r="J17" s="36">
        <f>CALS!AA17</f>
      </c>
      <c r="K17" s="66">
        <f>IF(B17="","",CALS!$B$12)</f>
      </c>
    </row>
    <row r="18" spans="2:11" ht="12.75">
      <c r="B18" s="36">
        <f>IF(CALS!D18=0,"",CALS!C18)</f>
      </c>
      <c r="C18" s="36">
        <f>IF(B18="","",CALS!D18)</f>
      </c>
      <c r="D18" s="64">
        <f>CALS!J18</f>
      </c>
      <c r="E18" s="64">
        <f>CALS!K18</f>
      </c>
      <c r="F18" s="36">
        <f>CALS!N18</f>
      </c>
      <c r="G18" s="64">
        <f>CALS!O18</f>
      </c>
      <c r="H18" s="36">
        <f>CALS!Y18</f>
      </c>
      <c r="I18" s="36">
        <f>CALS!Z18</f>
      </c>
      <c r="J18" s="36">
        <f>CALS!AA18</f>
      </c>
      <c r="K18" s="66">
        <f>IF(B18="","",CALS!$B$12)</f>
      </c>
    </row>
    <row r="19" spans="2:11" ht="12.75">
      <c r="B19" s="36">
        <f>IF(CALS!D19=0,"",CALS!C19)</f>
      </c>
      <c r="C19" s="36">
        <f>IF(B19="","",CALS!D19)</f>
      </c>
      <c r="D19" s="64">
        <f>CALS!J19</f>
      </c>
      <c r="E19" s="64">
        <f>CALS!K19</f>
      </c>
      <c r="F19" s="36">
        <f>CALS!N19</f>
      </c>
      <c r="G19" s="64">
        <f>CALS!O19</f>
      </c>
      <c r="H19" s="36">
        <f>CALS!Y19</f>
      </c>
      <c r="I19" s="36">
        <f>CALS!Z19</f>
      </c>
      <c r="J19" s="36">
        <f>CALS!AA19</f>
      </c>
      <c r="K19" s="66">
        <f>IF(B19="","",CALS!$B$12)</f>
      </c>
    </row>
    <row r="20" spans="2:11" ht="12.75">
      <c r="B20" s="36">
        <f>IF(CALS!D20=0,"",CALS!C20)</f>
      </c>
      <c r="C20" s="36">
        <f>IF(B20="","",CALS!D20)</f>
      </c>
      <c r="D20" s="64">
        <f>CALS!J20</f>
      </c>
      <c r="E20"/>
      <c r="F20" s="36">
        <f>CALS!N20</f>
      </c>
      <c r="G20" s="64">
        <f>CALS!O20</f>
      </c>
      <c r="H20"/>
      <c r="I20" s="36">
        <f>CALS!Z20</f>
      </c>
      <c r="J20" s="36">
        <f>CALS!AA20</f>
      </c>
      <c r="K20" s="66">
        <f>IF(B20="","",CALS!$B$12)</f>
      </c>
    </row>
    <row r="21" spans="2:11" ht="12.75">
      <c r="B21" s="36">
        <f>IF(CALS!D21=0,"",CALS!C21)</f>
      </c>
      <c r="C21" s="36">
        <f>IF(B21="","",CALS!D21)</f>
      </c>
      <c r="D21" s="64">
        <f>CALS!J21</f>
      </c>
      <c r="E21" s="64">
        <f>CALS!K21</f>
      </c>
      <c r="F21" s="36">
        <f>CALS!N21</f>
      </c>
      <c r="G21" s="64">
        <f>CALS!X21</f>
      </c>
      <c r="H21" s="36">
        <f>CALS!Y21</f>
      </c>
      <c r="I21" s="36">
        <f>CALS!Z21</f>
      </c>
      <c r="J21" s="36">
        <f>CALS!AA21</f>
      </c>
      <c r="K21" s="36">
        <f>IF(B21="","",CALS!$B$12)</f>
      </c>
    </row>
    <row r="22" spans="4:5" ht="12.75">
      <c r="D22" s="64"/>
      <c r="E22" s="64"/>
    </row>
    <row r="23" spans="4:5" ht="12.75">
      <c r="D23" s="64"/>
      <c r="E23" s="64"/>
    </row>
    <row r="24" spans="4:5" ht="12.75">
      <c r="D24" s="64"/>
      <c r="E24" s="64"/>
    </row>
    <row r="25" ht="12.75">
      <c r="J25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A42"/>
  <sheetViews>
    <sheetView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40625" defaultRowHeight="12.75"/>
  <cols>
    <col min="1" max="1" width="12.00390625" style="0" customWidth="1"/>
    <col min="2" max="2" width="7.7109375" style="0" customWidth="1"/>
    <col min="7" max="10" width="9.7109375" style="0" bestFit="1" customWidth="1"/>
    <col min="11" max="11" width="10.7109375" style="0" bestFit="1" customWidth="1"/>
    <col min="15" max="15" width="10.7109375" style="0" bestFit="1" customWidth="1"/>
    <col min="17" max="17" width="10.7109375" style="0" bestFit="1" customWidth="1"/>
    <col min="18" max="19" width="10.7109375" style="0" customWidth="1"/>
    <col min="23" max="23" width="10.28125" style="0" customWidth="1"/>
    <col min="24" max="24" width="10.28125" style="19" customWidth="1"/>
    <col min="25" max="25" width="9.140625" style="19" customWidth="1"/>
    <col min="26" max="26" width="10.421875" style="0" customWidth="1"/>
    <col min="27" max="27" width="10.140625" style="0" customWidth="1"/>
  </cols>
  <sheetData>
    <row r="1" spans="1:27" ht="15">
      <c r="A1" t="s">
        <v>99</v>
      </c>
      <c r="B1">
        <f>MAIN!C2</f>
        <v>1.13</v>
      </c>
      <c r="C1" s="5" t="s">
        <v>2</v>
      </c>
      <c r="D1" s="6" t="s">
        <v>4</v>
      </c>
      <c r="E1" s="6" t="s">
        <v>13</v>
      </c>
      <c r="F1" s="9" t="s">
        <v>16</v>
      </c>
      <c r="G1" s="5" t="s">
        <v>17</v>
      </c>
      <c r="H1" s="11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12</v>
      </c>
      <c r="N1" s="11" t="s">
        <v>81</v>
      </c>
      <c r="O1" s="5" t="s">
        <v>23</v>
      </c>
      <c r="P1" s="5" t="s">
        <v>30</v>
      </c>
      <c r="Q1" s="27" t="s">
        <v>32</v>
      </c>
      <c r="R1" s="27" t="s">
        <v>33</v>
      </c>
      <c r="S1" s="5" t="s">
        <v>29</v>
      </c>
      <c r="T1" s="5" t="s">
        <v>31</v>
      </c>
      <c r="U1" s="27" t="s">
        <v>27</v>
      </c>
      <c r="V1" s="27" t="s">
        <v>34</v>
      </c>
      <c r="W1" s="5" t="s">
        <v>28</v>
      </c>
      <c r="X1" s="5" t="s">
        <v>35</v>
      </c>
      <c r="Y1" s="5" t="s">
        <v>36</v>
      </c>
      <c r="Z1" s="5" t="s">
        <v>25</v>
      </c>
      <c r="AA1" s="5" t="s">
        <v>24</v>
      </c>
    </row>
    <row r="2" spans="1:27" ht="12.75">
      <c r="A2" t="s">
        <v>100</v>
      </c>
      <c r="B2">
        <f>MAIN!C3</f>
        <v>0.56</v>
      </c>
      <c r="C2" s="24">
        <v>0</v>
      </c>
      <c r="D2" s="25">
        <v>0</v>
      </c>
      <c r="E2" s="23"/>
      <c r="F2" s="28"/>
      <c r="G2" s="22"/>
      <c r="H2" s="29"/>
      <c r="I2" s="22"/>
      <c r="J2" s="22"/>
      <c r="K2" s="20"/>
      <c r="L2" s="20"/>
      <c r="M2" s="20"/>
      <c r="N2" s="21"/>
      <c r="O2" s="20"/>
      <c r="P2" s="20"/>
      <c r="Q2" s="20"/>
      <c r="R2" s="20"/>
      <c r="S2" s="20"/>
      <c r="T2" s="20"/>
      <c r="U2" s="20"/>
      <c r="V2" s="20"/>
      <c r="W2" s="20"/>
      <c r="X2" s="10"/>
      <c r="Y2" s="26"/>
      <c r="Z2" s="18"/>
      <c r="AA2" s="18"/>
    </row>
    <row r="3" spans="1:27" ht="15">
      <c r="A3" t="s">
        <v>11</v>
      </c>
      <c r="B3">
        <f>0.5*SQRT(B1*B2)</f>
        <v>0.39774363602702684</v>
      </c>
      <c r="C3" s="4">
        <v>1</v>
      </c>
      <c r="D3" s="4">
        <f>MAIN!F3</f>
        <v>11</v>
      </c>
      <c r="E3" s="8">
        <f>IF(D3=0,0,MAIN!G3*10^6)</f>
        <v>60000000</v>
      </c>
      <c r="F3" s="7">
        <f>IF(D3=0,0,MAIN!H3)</f>
        <v>0.5</v>
      </c>
      <c r="G3" s="10">
        <f>IF($B$17=1,E3/(2*(1+F3)),0.6*E3/(2*(1+F3))*(1+1.25*F3^2))</f>
        <v>15750000</v>
      </c>
      <c r="H3" s="10">
        <f aca="true" t="shared" si="0" ref="H3:H22">IF($B$17=1,E3*F3/((1+F3)*(1-2*F3)),0)</f>
        <v>0</v>
      </c>
      <c r="I3" s="10">
        <f>IF(D3=0,"",(H3+2*G3))</f>
        <v>31500000</v>
      </c>
      <c r="J3" s="10">
        <f>IF(D3=0,"",G3*(($B$14/$B$3)*($B$3/$B$11+$B$1)+($B$11/$B$3)*($B$3/$B$14+$B$2)))</f>
        <v>41665449.9968449</v>
      </c>
      <c r="K3" s="10">
        <f>IF(D3=0,"",0.5*I3*$B$3^2*($B$1/($B$3*$B$14)+$B$2/($B$3*$B$11)+1/($B$11*$B$14)))</f>
        <v>176998690.1530663</v>
      </c>
      <c r="L3" s="10">
        <f aca="true" t="shared" si="1" ref="L3:L22">IF(C3&lt;=$B$8,$B$6,I3)</f>
        <v>31000000000</v>
      </c>
      <c r="M3" s="10">
        <f aca="true" t="shared" si="2" ref="M3:M22">IF(D3=0,"",$B$4)</f>
        <v>0.6328</v>
      </c>
      <c r="N3" s="10">
        <f>IF(D3=0,"",SQRT(J3/(L3*M3+2*K3)))</f>
        <v>0.04567623888373447</v>
      </c>
      <c r="O3" s="10">
        <f>IF(D3=0,"",N3*(L3*M3+2*K3))</f>
        <v>912190911.8415215</v>
      </c>
      <c r="P3" s="10">
        <v>1</v>
      </c>
      <c r="Q3" s="10">
        <f>IF(D4=0,"",(O3+O4)*EXP(-(N3*D3-N4*D3))/(2*O3))</f>
        <v>10.701452248222683</v>
      </c>
      <c r="R3" s="10">
        <f>IF(D4=0,"",(O3-O4)*EXP(-(N3*D3+N4*D3))/(2*O3))</f>
        <v>-0.17846462607304314</v>
      </c>
      <c r="S3" s="10">
        <v>-2.153768299161964E+23</v>
      </c>
      <c r="T3" s="10">
        <v>2</v>
      </c>
      <c r="U3" s="10">
        <f>IF(D4=0,"",(O3-O4)*EXP((N3*D3+N4*D3))/(2*O3))</f>
        <v>-18.932113121615174</v>
      </c>
      <c r="V3" s="10">
        <f>IF(D4=0,"",(O3+O4)*EXP((N3*D3-N4*D3))/(2*O3))</f>
        <v>0.7526985295081621</v>
      </c>
      <c r="W3" s="10">
        <v>9.129762335716505E+23</v>
      </c>
      <c r="X3" s="10">
        <f aca="true" t="shared" si="3" ref="X3:X22">IF(W3="","",S3/($O$3/$B$7*($W$3-$S$3)))</f>
        <v>-0.0012555079798187404</v>
      </c>
      <c r="Y3" s="10">
        <f aca="true" t="shared" si="4" ref="Y3:Y22">IF(W3="","",W3/($O$3/$B$7*($W$3-$S$3)))</f>
        <v>0.005322062484994664</v>
      </c>
      <c r="Z3" s="18">
        <f>IF(X3="","",G3*((X3^2)/(2*N3)*(EXP(2*N3*D3)-EXP(2*N3*D2))-(Y3^2)/(2*N3)*(EXP(-2*N3*D3)-EXP(-2*N3*D2))+2*X3*Y3*(D3-D2)))</f>
        <v>1250.9342329710096</v>
      </c>
      <c r="AA3" s="18">
        <f>IF(X3="","",I3*((X3^2)*N3/(2)*(EXP(2*N3*D3)-EXP(2*N3*D2))-(Y3^2)*N3/(2)*(EXP(-2*N3*D3)-EXP(-2*N3*D2))-2*X3*Y3*N3^2*(D3-D2)))</f>
        <v>24.541306826770242</v>
      </c>
    </row>
    <row r="4" spans="1:27" ht="12.75">
      <c r="A4" t="s">
        <v>26</v>
      </c>
      <c r="B4">
        <f>B1*B2</f>
        <v>0.6328</v>
      </c>
      <c r="C4" s="4">
        <v>2</v>
      </c>
      <c r="D4" s="4">
        <f>MAIN!F4</f>
        <v>24</v>
      </c>
      <c r="E4" s="8">
        <f>IF(D4=0,0,MAIN!G4*10^6)</f>
        <v>1000000000</v>
      </c>
      <c r="F4" s="7">
        <f>IF(D4=0,0,MAIN!H4)</f>
        <v>0.15</v>
      </c>
      <c r="G4" s="10">
        <f aca="true" t="shared" si="5" ref="G4:G22">IF($B$17=1,E4/(2*(1+F4)),0.6*E4/(2*(1+F4))*(1+1.25*F4^2))</f>
        <v>268206521.73913044</v>
      </c>
      <c r="H4" s="10">
        <f t="shared" si="0"/>
        <v>0</v>
      </c>
      <c r="I4" s="10">
        <f aca="true" t="shared" si="6" ref="I4:I22">IF(D4=0,"",(H4+2*G4))</f>
        <v>536413043.4782609</v>
      </c>
      <c r="J4" s="10">
        <f aca="true" t="shared" si="7" ref="J4:J22">IF(D4=0,"",G4*(($B$14/$B$3)*($B$3/$B$11+$B$1)+($B$11/$B$3)*($B$3/$B$14+$B$2)))</f>
        <v>709520344.1491704</v>
      </c>
      <c r="K4" s="10">
        <f aca="true" t="shared" si="8" ref="K4:K22">IF(D4=0,"",0.5*I4*$B$3^2*($B$1/($B$3*$B$14)+$B$2/($B$3*$B$11)+1/($B$11*$B$14)))</f>
        <v>3014108129.4181585</v>
      </c>
      <c r="L4" s="10">
        <f t="shared" si="1"/>
        <v>31000000000</v>
      </c>
      <c r="M4" s="10">
        <f t="shared" si="2"/>
        <v>0.6328</v>
      </c>
      <c r="N4" s="10">
        <f aca="true" t="shared" si="9" ref="N4:N22">IF(D4=0,"",SQRT(J4/(L4*M4+2*K4)))</f>
        <v>0.1663339637454361</v>
      </c>
      <c r="O4" s="10">
        <f aca="true" t="shared" si="10" ref="O4:O22">IF(D4=0,"",N4*(L4*M4+2*K4))</f>
        <v>4265637204.6484</v>
      </c>
      <c r="P4" s="10">
        <v>3</v>
      </c>
      <c r="Q4" s="10">
        <f aca="true" t="shared" si="11" ref="Q4:Q22">IF(D5=0,"",(O4+O5)*EXP(-(N4*D4-N5*D4))/(2*O4))</f>
        <v>41.699183200006445</v>
      </c>
      <c r="R4" s="10">
        <f aca="true" t="shared" si="12" ref="R4:R22">IF(D5=0,"",(O4-O5)*EXP(-(N4*D4+N5*D4))/(2*O4))</f>
        <v>1.5361608952000356E-06</v>
      </c>
      <c r="S4" s="10">
        <v>1.3810048170372135E+20</v>
      </c>
      <c r="T4" s="10">
        <v>4</v>
      </c>
      <c r="U4" s="10">
        <f aca="true" t="shared" si="13" ref="U4:U22">IF(D5=0,"",(O4-O5)*EXP((N4*D4+N5*D4))/(2*O4))</f>
        <v>40963.44421954815</v>
      </c>
      <c r="V4" s="10">
        <f aca="true" t="shared" si="14" ref="V4:V22">IF(D5=0,"",(O4+O5)*EXP((N4*D4-N5*D4))/(2*O4))</f>
        <v>0.013458862578396588</v>
      </c>
      <c r="W4" s="10">
        <v>1.2202826311264458E+24</v>
      </c>
      <c r="X4" s="10">
        <f t="shared" si="3"/>
        <v>8.050367203533411E-07</v>
      </c>
      <c r="Y4" s="10">
        <f t="shared" si="4"/>
        <v>0.007113460540809309</v>
      </c>
      <c r="Z4" s="18">
        <f aca="true" t="shared" si="15" ref="Z4:Z22">IF(X4="","",G4*((X4^2)/(2*N4)*(EXP(2*N4*D4)-EXP(2*N4*D3))-(Y4^2)/(2*N4)*(EXP(-2*N4*D4)-EXP(-2*N4*D3))+2*X4*Y4*(D4-D3)))</f>
        <v>1078.0159156599038</v>
      </c>
      <c r="AA4" s="18">
        <f aca="true" t="shared" si="16" ref="AA4:AA22">IF(X4="","",I4*((X4^2)*N4/(2)*(EXP(2*N4*D4)-EXP(2*N4*D3))-(Y4^2)*N4/(2)*(EXP(-2*N4*D4)-EXP(-2*N4*D3))-2*X4*Y4*N4^2*(D4-D3)))</f>
        <v>55.23152756515835</v>
      </c>
    </row>
    <row r="5" spans="1:27" ht="12.75">
      <c r="A5" t="s">
        <v>7</v>
      </c>
      <c r="B5">
        <f>MAIN!C4</f>
        <v>24</v>
      </c>
      <c r="C5" s="4">
        <v>3</v>
      </c>
      <c r="D5" s="4">
        <f>MAIN!F5</f>
        <v>50</v>
      </c>
      <c r="E5" s="8">
        <f>IF(D5=0,0,MAIN!G5*10^6)</f>
        <v>1000000000</v>
      </c>
      <c r="F5" s="7">
        <f>IF(D5=0,0,MAIN!H5)</f>
        <v>0.15</v>
      </c>
      <c r="G5" s="10">
        <f t="shared" si="5"/>
        <v>268206521.73913044</v>
      </c>
      <c r="H5" s="10">
        <f t="shared" si="0"/>
        <v>0</v>
      </c>
      <c r="I5" s="10">
        <f t="shared" si="6"/>
        <v>536413043.4782609</v>
      </c>
      <c r="J5" s="10">
        <f t="shared" si="7"/>
        <v>709520344.1491704</v>
      </c>
      <c r="K5" s="10">
        <f t="shared" si="8"/>
        <v>3014108129.4181585</v>
      </c>
      <c r="L5" s="10">
        <f t="shared" si="1"/>
        <v>536413043.4782609</v>
      </c>
      <c r="M5" s="10">
        <f t="shared" si="2"/>
        <v>0.6328</v>
      </c>
      <c r="N5" s="10">
        <f t="shared" si="9"/>
        <v>0.3338047763132098</v>
      </c>
      <c r="O5" s="10">
        <f t="shared" si="10"/>
        <v>2125554798.7828248</v>
      </c>
      <c r="P5" s="10">
        <v>5</v>
      </c>
      <c r="Q5" s="10">
        <f t="shared" si="11"/>
      </c>
      <c r="R5" s="10">
        <f t="shared" si="12"/>
      </c>
      <c r="S5" s="10">
        <v>0</v>
      </c>
      <c r="T5" s="10">
        <v>6</v>
      </c>
      <c r="U5" s="10">
        <f t="shared" si="13"/>
      </c>
      <c r="V5" s="10">
        <f t="shared" si="14"/>
      </c>
      <c r="W5" s="10">
        <v>9.340532887047728E+25</v>
      </c>
      <c r="X5" s="10">
        <f t="shared" si="3"/>
        <v>0</v>
      </c>
      <c r="Y5" s="10">
        <f t="shared" si="4"/>
        <v>0.544492811971039</v>
      </c>
      <c r="Z5" s="18">
        <f t="shared" si="15"/>
        <v>13.103629539608466</v>
      </c>
      <c r="AA5" s="18">
        <f t="shared" si="16"/>
        <v>2.920160319130669</v>
      </c>
    </row>
    <row r="6" spans="1:27" ht="12.75">
      <c r="A6" t="s">
        <v>14</v>
      </c>
      <c r="B6" s="16">
        <f>MAIN!C5*10^9</f>
        <v>31000000000</v>
      </c>
      <c r="C6" s="4">
        <v>4</v>
      </c>
      <c r="D6" s="4">
        <f>MAIN!F6</f>
        <v>0</v>
      </c>
      <c r="E6" s="8">
        <f>IF(D6=0,0,MAIN!G6*10^6)</f>
        <v>0</v>
      </c>
      <c r="F6" s="7">
        <f>IF(D6=0,0,MAIN!H6)</f>
        <v>0</v>
      </c>
      <c r="G6" s="10">
        <f t="shared" si="5"/>
        <v>0</v>
      </c>
      <c r="H6" s="10">
        <f t="shared" si="0"/>
        <v>0</v>
      </c>
      <c r="I6" s="10">
        <f t="shared" si="6"/>
      </c>
      <c r="J6" s="10">
        <f t="shared" si="7"/>
      </c>
      <c r="K6" s="10">
        <f t="shared" si="8"/>
      </c>
      <c r="L6" s="10">
        <f t="shared" si="1"/>
      </c>
      <c r="M6" s="10">
        <f t="shared" si="2"/>
      </c>
      <c r="N6" s="10">
        <f t="shared" si="9"/>
      </c>
      <c r="O6" s="10">
        <f t="shared" si="10"/>
      </c>
      <c r="P6" s="10">
        <v>7</v>
      </c>
      <c r="Q6" s="10">
        <f t="shared" si="11"/>
      </c>
      <c r="R6" s="10">
        <f t="shared" si="12"/>
      </c>
      <c r="S6" s="10"/>
      <c r="T6" s="10">
        <v>8</v>
      </c>
      <c r="U6" s="10">
        <f t="shared" si="13"/>
      </c>
      <c r="V6" s="10">
        <f t="shared" si="14"/>
      </c>
      <c r="W6" s="10"/>
      <c r="X6" s="10">
        <f t="shared" si="3"/>
      </c>
      <c r="Y6" s="10">
        <f t="shared" si="4"/>
      </c>
      <c r="Z6" s="18">
        <f t="shared" si="15"/>
      </c>
      <c r="AA6" s="18">
        <f t="shared" si="16"/>
      </c>
    </row>
    <row r="7" spans="1:27" ht="12.75">
      <c r="A7" t="s">
        <v>15</v>
      </c>
      <c r="B7">
        <f>MAIN!C12*10^3</f>
        <v>6000000</v>
      </c>
      <c r="C7" s="4">
        <v>5</v>
      </c>
      <c r="D7" s="4">
        <f>MAIN!F7</f>
        <v>0</v>
      </c>
      <c r="E7" s="8">
        <f>IF(D7=0,0,MAIN!G7*10^6)</f>
        <v>0</v>
      </c>
      <c r="F7" s="7">
        <f>IF(D7=0,0,MAIN!H7)</f>
        <v>0</v>
      </c>
      <c r="G7" s="10">
        <f t="shared" si="5"/>
        <v>0</v>
      </c>
      <c r="H7" s="10">
        <f t="shared" si="0"/>
        <v>0</v>
      </c>
      <c r="I7" s="10">
        <f t="shared" si="6"/>
      </c>
      <c r="J7" s="10">
        <f t="shared" si="7"/>
      </c>
      <c r="K7" s="10">
        <f t="shared" si="8"/>
      </c>
      <c r="L7" s="10">
        <f t="shared" si="1"/>
      </c>
      <c r="M7" s="10">
        <f t="shared" si="2"/>
      </c>
      <c r="N7" s="10">
        <f t="shared" si="9"/>
      </c>
      <c r="O7" s="10">
        <f t="shared" si="10"/>
      </c>
      <c r="P7" s="10">
        <v>9</v>
      </c>
      <c r="Q7" s="10">
        <f t="shared" si="11"/>
      </c>
      <c r="R7" s="10">
        <f t="shared" si="12"/>
      </c>
      <c r="S7" s="10"/>
      <c r="T7" s="10">
        <v>10</v>
      </c>
      <c r="U7" s="10">
        <f t="shared" si="13"/>
      </c>
      <c r="V7" s="10">
        <f t="shared" si="14"/>
      </c>
      <c r="W7" s="10"/>
      <c r="X7" s="10">
        <f t="shared" si="3"/>
      </c>
      <c r="Y7" s="10">
        <f t="shared" si="4"/>
      </c>
      <c r="Z7" s="18">
        <f t="shared" si="15"/>
      </c>
      <c r="AA7" s="18">
        <f t="shared" si="16"/>
      </c>
    </row>
    <row r="8" spans="1:27" ht="15">
      <c r="A8" t="s">
        <v>9</v>
      </c>
      <c r="B8">
        <f>MAIN!C8</f>
        <v>2</v>
      </c>
      <c r="C8" s="4">
        <v>6</v>
      </c>
      <c r="D8" s="4">
        <f>MAIN!F8</f>
        <v>0</v>
      </c>
      <c r="E8" s="8">
        <f>IF(D8=0,0,MAIN!G8*10^6)</f>
        <v>0</v>
      </c>
      <c r="F8" s="7">
        <f>IF(D8=0,0,MAIN!H8)</f>
        <v>0</v>
      </c>
      <c r="G8" s="10">
        <f t="shared" si="5"/>
        <v>0</v>
      </c>
      <c r="H8" s="10">
        <f t="shared" si="0"/>
        <v>0</v>
      </c>
      <c r="I8" s="10">
        <f t="shared" si="6"/>
      </c>
      <c r="J8" s="10">
        <f t="shared" si="7"/>
      </c>
      <c r="K8" s="10">
        <f t="shared" si="8"/>
      </c>
      <c r="L8" s="10">
        <f t="shared" si="1"/>
      </c>
      <c r="M8" s="10">
        <f t="shared" si="2"/>
      </c>
      <c r="N8" s="10">
        <f t="shared" si="9"/>
      </c>
      <c r="O8" s="10">
        <f t="shared" si="10"/>
      </c>
      <c r="P8" s="10">
        <v>11</v>
      </c>
      <c r="Q8" s="10">
        <f t="shared" si="11"/>
      </c>
      <c r="R8" s="10">
        <f t="shared" si="12"/>
      </c>
      <c r="S8" s="10"/>
      <c r="T8" s="10">
        <v>12</v>
      </c>
      <c r="U8" s="10">
        <f t="shared" si="13"/>
      </c>
      <c r="V8" s="10">
        <f t="shared" si="14"/>
      </c>
      <c r="W8" s="10"/>
      <c r="X8" s="10">
        <f t="shared" si="3"/>
      </c>
      <c r="Y8" s="10">
        <f t="shared" si="4"/>
      </c>
      <c r="Z8" s="18">
        <f t="shared" si="15"/>
      </c>
      <c r="AA8" s="18">
        <f t="shared" si="16"/>
      </c>
    </row>
    <row r="9" spans="1:27" ht="15">
      <c r="A9" t="s">
        <v>10</v>
      </c>
      <c r="B9">
        <f>MAIN!C9</f>
        <v>1</v>
      </c>
      <c r="C9" s="4">
        <v>7</v>
      </c>
      <c r="D9" s="4">
        <f>MAIN!F9</f>
        <v>0</v>
      </c>
      <c r="E9" s="8">
        <f>IF(D9=0,0,MAIN!G9*10^6)</f>
        <v>0</v>
      </c>
      <c r="F9" s="7">
        <f>IF(D9=0,0,MAIN!H9)</f>
        <v>0</v>
      </c>
      <c r="G9" s="10">
        <f t="shared" si="5"/>
        <v>0</v>
      </c>
      <c r="H9" s="10">
        <f t="shared" si="0"/>
        <v>0</v>
      </c>
      <c r="I9" s="10">
        <f t="shared" si="6"/>
      </c>
      <c r="J9" s="10">
        <f t="shared" si="7"/>
      </c>
      <c r="K9" s="10">
        <f t="shared" si="8"/>
      </c>
      <c r="L9" s="10">
        <f t="shared" si="1"/>
      </c>
      <c r="M9" s="10">
        <f t="shared" si="2"/>
      </c>
      <c r="N9" s="10">
        <f t="shared" si="9"/>
      </c>
      <c r="O9" s="10">
        <f t="shared" si="10"/>
      </c>
      <c r="P9" s="10">
        <v>13</v>
      </c>
      <c r="Q9" s="10">
        <f t="shared" si="11"/>
      </c>
      <c r="R9" s="10">
        <f t="shared" si="12"/>
      </c>
      <c r="S9" s="10"/>
      <c r="T9" s="10">
        <v>14</v>
      </c>
      <c r="U9" s="10">
        <f t="shared" si="13"/>
      </c>
      <c r="V9" s="10">
        <f t="shared" si="14"/>
      </c>
      <c r="W9" s="10"/>
      <c r="X9" s="10">
        <f t="shared" si="3"/>
      </c>
      <c r="Y9" s="10">
        <f t="shared" si="4"/>
      </c>
      <c r="Z9" s="18">
        <f t="shared" si="15"/>
      </c>
      <c r="AA9" s="18">
        <f t="shared" si="16"/>
      </c>
    </row>
    <row r="10" spans="1:27" ht="12.75">
      <c r="A10" t="s">
        <v>8</v>
      </c>
      <c r="B10">
        <f>B8+B9</f>
        <v>3</v>
      </c>
      <c r="C10" s="4">
        <v>8</v>
      </c>
      <c r="D10" s="4">
        <f>MAIN!F10</f>
        <v>0</v>
      </c>
      <c r="E10" s="8">
        <f>IF(D10=0,0,MAIN!G10*10^6)</f>
        <v>0</v>
      </c>
      <c r="F10" s="7">
        <f>IF(D10=0,0,MAIN!H10)</f>
        <v>0</v>
      </c>
      <c r="G10" s="10">
        <f t="shared" si="5"/>
        <v>0</v>
      </c>
      <c r="H10" s="10">
        <f t="shared" si="0"/>
        <v>0</v>
      </c>
      <c r="I10" s="10">
        <f t="shared" si="6"/>
      </c>
      <c r="J10" s="10">
        <f t="shared" si="7"/>
      </c>
      <c r="K10" s="10">
        <f t="shared" si="8"/>
      </c>
      <c r="L10" s="10">
        <f t="shared" si="1"/>
      </c>
      <c r="M10" s="10">
        <f t="shared" si="2"/>
      </c>
      <c r="N10" s="10">
        <f t="shared" si="9"/>
      </c>
      <c r="O10" s="10">
        <f t="shared" si="10"/>
      </c>
      <c r="P10" s="10">
        <v>15</v>
      </c>
      <c r="Q10" s="10">
        <f t="shared" si="11"/>
      </c>
      <c r="R10" s="10">
        <f t="shared" si="12"/>
      </c>
      <c r="S10" s="10"/>
      <c r="T10" s="10">
        <v>16</v>
      </c>
      <c r="U10" s="10">
        <f t="shared" si="13"/>
      </c>
      <c r="V10" s="10">
        <f t="shared" si="14"/>
      </c>
      <c r="W10" s="10"/>
      <c r="X10" s="10">
        <f t="shared" si="3"/>
      </c>
      <c r="Y10" s="10">
        <f t="shared" si="4"/>
      </c>
      <c r="Z10" s="18">
        <f t="shared" si="15"/>
      </c>
      <c r="AA10" s="18">
        <f t="shared" si="16"/>
      </c>
    </row>
    <row r="11" spans="1:27" ht="15">
      <c r="A11" s="1" t="s">
        <v>104</v>
      </c>
      <c r="B11">
        <v>0.1555529421564195</v>
      </c>
      <c r="C11" s="4">
        <v>9</v>
      </c>
      <c r="D11" s="4">
        <f>MAIN!F11</f>
        <v>0</v>
      </c>
      <c r="E11" s="8">
        <f>IF(D11=0,0,MAIN!G11*10^6)</f>
        <v>0</v>
      </c>
      <c r="F11" s="7">
        <f>IF(D11=0,0,MAIN!H11)</f>
        <v>0</v>
      </c>
      <c r="G11" s="10">
        <f t="shared" si="5"/>
        <v>0</v>
      </c>
      <c r="H11" s="10">
        <f t="shared" si="0"/>
        <v>0</v>
      </c>
      <c r="I11" s="10">
        <f t="shared" si="6"/>
      </c>
      <c r="J11" s="10">
        <f t="shared" si="7"/>
      </c>
      <c r="K11" s="10">
        <f t="shared" si="8"/>
      </c>
      <c r="L11" s="10">
        <f t="shared" si="1"/>
      </c>
      <c r="M11" s="10">
        <f t="shared" si="2"/>
      </c>
      <c r="N11" s="10">
        <f t="shared" si="9"/>
      </c>
      <c r="O11" s="10">
        <f t="shared" si="10"/>
      </c>
      <c r="P11" s="10">
        <v>17</v>
      </c>
      <c r="Q11" s="10">
        <f t="shared" si="11"/>
      </c>
      <c r="R11" s="10">
        <f t="shared" si="12"/>
      </c>
      <c r="S11" s="10"/>
      <c r="T11" s="10">
        <v>18</v>
      </c>
      <c r="U11" s="10">
        <f t="shared" si="13"/>
      </c>
      <c r="V11" s="10">
        <f t="shared" si="14"/>
      </c>
      <c r="W11" s="10"/>
      <c r="X11" s="10">
        <f t="shared" si="3"/>
      </c>
      <c r="Y11" s="10">
        <f t="shared" si="4"/>
      </c>
      <c r="Z11" s="18">
        <f t="shared" si="15"/>
      </c>
      <c r="AA11" s="18">
        <f t="shared" si="16"/>
      </c>
    </row>
    <row r="12" spans="1:27" ht="15">
      <c r="A12" s="1" t="s">
        <v>101</v>
      </c>
      <c r="B12">
        <f>B3*SQRT((AA23*($B$3/$B$14+$B$2)+Z23*($B$14/$B$3))/(Z23*($B$3/$B$14+$B$2)))</f>
        <v>0.1551128374971689</v>
      </c>
      <c r="C12" s="4">
        <v>10</v>
      </c>
      <c r="D12" s="4">
        <f>MAIN!F12</f>
        <v>0</v>
      </c>
      <c r="E12" s="8">
        <f>IF(D12=0,0,MAIN!G12*10^6)</f>
        <v>0</v>
      </c>
      <c r="F12" s="7">
        <f>IF(D12=0,0,MAIN!H12)</f>
        <v>0</v>
      </c>
      <c r="G12" s="10">
        <f t="shared" si="5"/>
        <v>0</v>
      </c>
      <c r="H12" s="10">
        <f t="shared" si="0"/>
        <v>0</v>
      </c>
      <c r="I12" s="10">
        <f t="shared" si="6"/>
      </c>
      <c r="J12" s="10">
        <f t="shared" si="7"/>
      </c>
      <c r="K12" s="10">
        <f t="shared" si="8"/>
      </c>
      <c r="L12" s="10">
        <f t="shared" si="1"/>
      </c>
      <c r="M12" s="10">
        <f t="shared" si="2"/>
      </c>
      <c r="N12" s="10">
        <f t="shared" si="9"/>
      </c>
      <c r="O12" s="10">
        <f t="shared" si="10"/>
      </c>
      <c r="P12" s="10">
        <v>19</v>
      </c>
      <c r="Q12" s="10">
        <f t="shared" si="11"/>
      </c>
      <c r="R12" s="10">
        <f t="shared" si="12"/>
      </c>
      <c r="S12" s="10"/>
      <c r="T12" s="10">
        <v>20</v>
      </c>
      <c r="U12" s="10">
        <f t="shared" si="13"/>
      </c>
      <c r="V12" s="10">
        <f t="shared" si="14"/>
      </c>
      <c r="W12" s="10"/>
      <c r="X12" s="10">
        <f t="shared" si="3"/>
      </c>
      <c r="Y12" s="10">
        <f t="shared" si="4"/>
      </c>
      <c r="Z12" s="18">
        <f t="shared" si="15"/>
      </c>
      <c r="AA12" s="18">
        <f t="shared" si="16"/>
      </c>
    </row>
    <row r="13" spans="1:27" ht="15">
      <c r="A13" s="1" t="s">
        <v>105</v>
      </c>
      <c r="B13">
        <v>8.58765791217353E-06</v>
      </c>
      <c r="C13" s="4">
        <v>11</v>
      </c>
      <c r="D13" s="4">
        <f>MAIN!F13</f>
        <v>0</v>
      </c>
      <c r="E13" s="8">
        <f>IF(D13=0,0,MAIN!G13*10^6)</f>
        <v>0</v>
      </c>
      <c r="F13" s="7">
        <f>IF(D13=0,0,MAIN!H13)</f>
        <v>0</v>
      </c>
      <c r="G13" s="10">
        <f t="shared" si="5"/>
        <v>0</v>
      </c>
      <c r="H13" s="10">
        <f t="shared" si="0"/>
        <v>0</v>
      </c>
      <c r="I13" s="10">
        <f t="shared" si="6"/>
      </c>
      <c r="J13" s="10">
        <f t="shared" si="7"/>
      </c>
      <c r="K13" s="10">
        <f t="shared" si="8"/>
      </c>
      <c r="L13" s="10">
        <f t="shared" si="1"/>
      </c>
      <c r="M13" s="10">
        <f t="shared" si="2"/>
      </c>
      <c r="N13" s="10">
        <f t="shared" si="9"/>
      </c>
      <c r="O13" s="10">
        <f t="shared" si="10"/>
      </c>
      <c r="P13" s="10">
        <v>21</v>
      </c>
      <c r="Q13" s="10">
        <f t="shared" si="11"/>
      </c>
      <c r="R13" s="10">
        <f t="shared" si="12"/>
      </c>
      <c r="S13" s="10"/>
      <c r="T13" s="10">
        <v>22</v>
      </c>
      <c r="U13" s="10">
        <f t="shared" si="13"/>
      </c>
      <c r="V13" s="10">
        <f t="shared" si="14"/>
      </c>
      <c r="W13" s="10"/>
      <c r="X13" s="10">
        <f t="shared" si="3"/>
      </c>
      <c r="Y13" s="10">
        <f t="shared" si="4"/>
      </c>
      <c r="Z13" s="18">
        <f t="shared" si="15"/>
      </c>
      <c r="AA13" s="18">
        <f t="shared" si="16"/>
      </c>
    </row>
    <row r="14" spans="1:27" ht="15">
      <c r="A14" s="1" t="s">
        <v>102</v>
      </c>
      <c r="B14">
        <v>0.14954627843284943</v>
      </c>
      <c r="C14" s="4">
        <v>12</v>
      </c>
      <c r="D14" s="4">
        <f>MAIN!F14</f>
        <v>0</v>
      </c>
      <c r="E14" s="8">
        <f>IF(D14=0,0,MAIN!G14*10^6)</f>
        <v>0</v>
      </c>
      <c r="F14" s="7">
        <f>IF(D14=0,0,MAIN!H14)</f>
        <v>0</v>
      </c>
      <c r="G14" s="10">
        <f t="shared" si="5"/>
        <v>0</v>
      </c>
      <c r="H14" s="10">
        <f t="shared" si="0"/>
        <v>0</v>
      </c>
      <c r="I14" s="10">
        <f t="shared" si="6"/>
      </c>
      <c r="J14" s="10">
        <f t="shared" si="7"/>
      </c>
      <c r="K14" s="10">
        <f t="shared" si="8"/>
      </c>
      <c r="L14" s="10">
        <f t="shared" si="1"/>
      </c>
      <c r="M14" s="10">
        <f t="shared" si="2"/>
      </c>
      <c r="N14" s="10">
        <f t="shared" si="9"/>
      </c>
      <c r="O14" s="10">
        <f t="shared" si="10"/>
      </c>
      <c r="P14" s="10">
        <v>23</v>
      </c>
      <c r="Q14" s="10">
        <f t="shared" si="11"/>
      </c>
      <c r="R14" s="10">
        <f t="shared" si="12"/>
      </c>
      <c r="S14" s="10"/>
      <c r="T14" s="10">
        <v>24</v>
      </c>
      <c r="U14" s="10">
        <f t="shared" si="13"/>
      </c>
      <c r="V14" s="10">
        <f t="shared" si="14"/>
      </c>
      <c r="W14" s="10"/>
      <c r="X14" s="10">
        <f t="shared" si="3"/>
      </c>
      <c r="Y14" s="10">
        <f t="shared" si="4"/>
      </c>
      <c r="Z14" s="18">
        <f t="shared" si="15"/>
      </c>
      <c r="AA14" s="18">
        <f t="shared" si="16"/>
      </c>
    </row>
    <row r="15" spans="1:27" ht="15">
      <c r="A15" s="1" t="s">
        <v>103</v>
      </c>
      <c r="B15">
        <f>B3*SQRT((AA23*($B$3/$B$11+$B$1)+Z23*($B$11/$B$3))/(Z23*($B$3/$B$11+$B$1)))</f>
        <v>0.149554322325187</v>
      </c>
      <c r="C15" s="4">
        <v>13</v>
      </c>
      <c r="D15" s="4">
        <f>MAIN!F15</f>
        <v>0</v>
      </c>
      <c r="E15" s="8">
        <f>IF(D15=0,0,MAIN!G15*10^6)</f>
        <v>0</v>
      </c>
      <c r="F15" s="7">
        <f>IF(D15=0,0,MAIN!H15)</f>
        <v>0</v>
      </c>
      <c r="G15" s="10">
        <f t="shared" si="5"/>
        <v>0</v>
      </c>
      <c r="H15" s="10">
        <f t="shared" si="0"/>
        <v>0</v>
      </c>
      <c r="I15" s="10">
        <f t="shared" si="6"/>
      </c>
      <c r="J15" s="10">
        <f t="shared" si="7"/>
      </c>
      <c r="K15" s="10">
        <f t="shared" si="8"/>
      </c>
      <c r="L15" s="10">
        <f t="shared" si="1"/>
      </c>
      <c r="M15" s="10">
        <f t="shared" si="2"/>
      </c>
      <c r="N15" s="10">
        <f t="shared" si="9"/>
      </c>
      <c r="O15" s="10">
        <f t="shared" si="10"/>
      </c>
      <c r="P15" s="10">
        <v>25</v>
      </c>
      <c r="Q15" s="10">
        <f t="shared" si="11"/>
      </c>
      <c r="R15" s="10">
        <f t="shared" si="12"/>
      </c>
      <c r="S15" s="10"/>
      <c r="T15" s="10">
        <v>26</v>
      </c>
      <c r="U15" s="10">
        <f t="shared" si="13"/>
      </c>
      <c r="V15" s="10">
        <f t="shared" si="14"/>
      </c>
      <c r="W15" s="10"/>
      <c r="X15" s="10">
        <f t="shared" si="3"/>
      </c>
      <c r="Y15" s="10">
        <f t="shared" si="4"/>
      </c>
      <c r="Z15" s="18">
        <f t="shared" si="15"/>
      </c>
      <c r="AA15" s="18">
        <f t="shared" si="16"/>
      </c>
    </row>
    <row r="16" spans="1:27" ht="15">
      <c r="A16" s="1" t="s">
        <v>106</v>
      </c>
      <c r="B16">
        <v>8.043892337578074E-06</v>
      </c>
      <c r="C16" s="4">
        <v>14</v>
      </c>
      <c r="D16" s="4">
        <f>MAIN!F16</f>
        <v>0</v>
      </c>
      <c r="E16" s="8">
        <f>IF(D16=0,0,MAIN!G16*10^6)</f>
        <v>0</v>
      </c>
      <c r="F16" s="7">
        <f>IF(D16=0,0,MAIN!H16)</f>
        <v>0</v>
      </c>
      <c r="G16" s="10">
        <f t="shared" si="5"/>
        <v>0</v>
      </c>
      <c r="H16" s="10">
        <f t="shared" si="0"/>
        <v>0</v>
      </c>
      <c r="I16" s="10">
        <f t="shared" si="6"/>
      </c>
      <c r="J16" s="10">
        <f t="shared" si="7"/>
      </c>
      <c r="K16" s="10">
        <f t="shared" si="8"/>
      </c>
      <c r="L16" s="10">
        <f t="shared" si="1"/>
      </c>
      <c r="M16" s="10">
        <f t="shared" si="2"/>
      </c>
      <c r="N16" s="10">
        <f t="shared" si="9"/>
      </c>
      <c r="O16" s="10">
        <f t="shared" si="10"/>
      </c>
      <c r="P16" s="10">
        <v>27</v>
      </c>
      <c r="Q16" s="10">
        <f t="shared" si="11"/>
      </c>
      <c r="R16" s="10">
        <f t="shared" si="12"/>
      </c>
      <c r="S16" s="10"/>
      <c r="T16" s="10">
        <v>28</v>
      </c>
      <c r="U16" s="10">
        <f t="shared" si="13"/>
      </c>
      <c r="V16" s="10">
        <f t="shared" si="14"/>
      </c>
      <c r="W16" s="10"/>
      <c r="X16" s="10">
        <f t="shared" si="3"/>
      </c>
      <c r="Y16" s="10">
        <f t="shared" si="4"/>
      </c>
      <c r="Z16" s="18">
        <f t="shared" si="15"/>
      </c>
      <c r="AA16" s="18">
        <f t="shared" si="16"/>
      </c>
    </row>
    <row r="17" spans="1:27" ht="12.75">
      <c r="A17" t="s">
        <v>37</v>
      </c>
      <c r="B17">
        <v>2</v>
      </c>
      <c r="C17" s="4">
        <v>15</v>
      </c>
      <c r="D17" s="4">
        <f>MAIN!F17</f>
        <v>0</v>
      </c>
      <c r="E17" s="8">
        <f>IF(D17=0,0,MAIN!G17*10^6)</f>
        <v>0</v>
      </c>
      <c r="F17" s="7">
        <f>IF(D17=0,0,MAIN!H17)</f>
        <v>0</v>
      </c>
      <c r="G17" s="10">
        <f t="shared" si="5"/>
        <v>0</v>
      </c>
      <c r="H17" s="10">
        <f t="shared" si="0"/>
        <v>0</v>
      </c>
      <c r="I17" s="10">
        <f t="shared" si="6"/>
      </c>
      <c r="J17" s="10">
        <f t="shared" si="7"/>
      </c>
      <c r="K17" s="10">
        <f t="shared" si="8"/>
      </c>
      <c r="L17" s="10">
        <f t="shared" si="1"/>
      </c>
      <c r="M17" s="10">
        <f t="shared" si="2"/>
      </c>
      <c r="N17" s="10">
        <f t="shared" si="9"/>
      </c>
      <c r="O17" s="10">
        <f t="shared" si="10"/>
      </c>
      <c r="P17" s="10">
        <v>29</v>
      </c>
      <c r="Q17" s="10">
        <f t="shared" si="11"/>
      </c>
      <c r="R17" s="10">
        <f t="shared" si="12"/>
      </c>
      <c r="S17" s="10"/>
      <c r="T17" s="10">
        <v>30</v>
      </c>
      <c r="U17" s="10">
        <f t="shared" si="13"/>
      </c>
      <c r="V17" s="10">
        <f t="shared" si="14"/>
      </c>
      <c r="W17" s="10"/>
      <c r="X17" s="10">
        <f t="shared" si="3"/>
      </c>
      <c r="Y17" s="10">
        <f t="shared" si="4"/>
      </c>
      <c r="Z17" s="18">
        <f t="shared" si="15"/>
      </c>
      <c r="AA17" s="18">
        <f t="shared" si="16"/>
      </c>
    </row>
    <row r="18" spans="3:27" ht="12.75">
      <c r="C18" s="4">
        <v>16</v>
      </c>
      <c r="D18" s="4">
        <f>MAIN!F18</f>
        <v>0</v>
      </c>
      <c r="E18" s="8">
        <f>IF(D18=0,0,MAIN!G18*10^6)</f>
        <v>0</v>
      </c>
      <c r="F18" s="7">
        <f>IF(D18=0,0,MAIN!H18)</f>
        <v>0</v>
      </c>
      <c r="G18" s="10">
        <f t="shared" si="5"/>
        <v>0</v>
      </c>
      <c r="H18" s="10">
        <f t="shared" si="0"/>
        <v>0</v>
      </c>
      <c r="I18" s="10">
        <f t="shared" si="6"/>
      </c>
      <c r="J18" s="10">
        <f t="shared" si="7"/>
      </c>
      <c r="K18" s="10">
        <f t="shared" si="8"/>
      </c>
      <c r="L18" s="10">
        <f t="shared" si="1"/>
      </c>
      <c r="M18" s="10">
        <f t="shared" si="2"/>
      </c>
      <c r="N18" s="10">
        <f t="shared" si="9"/>
      </c>
      <c r="O18" s="10">
        <f t="shared" si="10"/>
      </c>
      <c r="P18" s="10">
        <v>31</v>
      </c>
      <c r="Q18" s="10">
        <f t="shared" si="11"/>
      </c>
      <c r="R18" s="10">
        <f t="shared" si="12"/>
      </c>
      <c r="S18" s="10"/>
      <c r="T18" s="10">
        <v>32</v>
      </c>
      <c r="U18" s="10">
        <f t="shared" si="13"/>
      </c>
      <c r="V18" s="10">
        <f t="shared" si="14"/>
      </c>
      <c r="W18" s="10"/>
      <c r="X18" s="10">
        <f t="shared" si="3"/>
      </c>
      <c r="Y18" s="10">
        <f t="shared" si="4"/>
      </c>
      <c r="Z18" s="18">
        <f t="shared" si="15"/>
      </c>
      <c r="AA18" s="18">
        <f t="shared" si="16"/>
      </c>
    </row>
    <row r="19" spans="3:27" ht="12.75">
      <c r="C19" s="4">
        <v>17</v>
      </c>
      <c r="D19" s="4">
        <f>MAIN!F19</f>
        <v>0</v>
      </c>
      <c r="E19" s="8">
        <f>IF(D19=0,0,MAIN!G19*10^6)</f>
        <v>0</v>
      </c>
      <c r="F19" s="7">
        <f>IF(D19=0,0,MAIN!H19)</f>
        <v>0</v>
      </c>
      <c r="G19" s="10">
        <f t="shared" si="5"/>
        <v>0</v>
      </c>
      <c r="H19" s="10">
        <f t="shared" si="0"/>
        <v>0</v>
      </c>
      <c r="I19" s="10">
        <f t="shared" si="6"/>
      </c>
      <c r="J19" s="10">
        <f t="shared" si="7"/>
      </c>
      <c r="K19" s="10">
        <f t="shared" si="8"/>
      </c>
      <c r="L19" s="10">
        <f t="shared" si="1"/>
      </c>
      <c r="M19" s="10">
        <f t="shared" si="2"/>
      </c>
      <c r="N19" s="10">
        <f t="shared" si="9"/>
      </c>
      <c r="O19" s="10">
        <f t="shared" si="10"/>
      </c>
      <c r="P19" s="10">
        <v>33</v>
      </c>
      <c r="Q19" s="10">
        <f t="shared" si="11"/>
      </c>
      <c r="R19" s="10">
        <f t="shared" si="12"/>
      </c>
      <c r="S19" s="10"/>
      <c r="T19" s="10">
        <v>34</v>
      </c>
      <c r="U19" s="10">
        <f t="shared" si="13"/>
      </c>
      <c r="V19" s="10">
        <f t="shared" si="14"/>
      </c>
      <c r="W19" s="10"/>
      <c r="X19" s="10">
        <f t="shared" si="3"/>
      </c>
      <c r="Y19" s="10">
        <f t="shared" si="4"/>
      </c>
      <c r="Z19" s="18">
        <f t="shared" si="15"/>
      </c>
      <c r="AA19" s="18">
        <f t="shared" si="16"/>
      </c>
    </row>
    <row r="20" spans="1:27" ht="12.75">
      <c r="A20" t="s">
        <v>56</v>
      </c>
      <c r="B20">
        <f>PlotTable!F5</f>
        <v>4.066554505175923</v>
      </c>
      <c r="C20" s="4">
        <v>18</v>
      </c>
      <c r="D20" s="4">
        <f>MAIN!F20</f>
        <v>0</v>
      </c>
      <c r="E20" s="8">
        <f>IF(D20=0,0,MAIN!G20*10^6)</f>
        <v>0</v>
      </c>
      <c r="F20" s="7">
        <f>IF(D20=0,0,MAIN!H20)</f>
        <v>0</v>
      </c>
      <c r="G20" s="10">
        <f t="shared" si="5"/>
        <v>0</v>
      </c>
      <c r="H20" s="10">
        <f t="shared" si="0"/>
        <v>0</v>
      </c>
      <c r="I20" s="10">
        <f t="shared" si="6"/>
      </c>
      <c r="J20" s="10">
        <f t="shared" si="7"/>
      </c>
      <c r="K20" s="10">
        <f t="shared" si="8"/>
      </c>
      <c r="L20" s="10">
        <f t="shared" si="1"/>
      </c>
      <c r="M20" s="10">
        <f t="shared" si="2"/>
      </c>
      <c r="N20" s="10">
        <f t="shared" si="9"/>
      </c>
      <c r="O20" s="10">
        <f t="shared" si="10"/>
      </c>
      <c r="P20" s="10">
        <v>35</v>
      </c>
      <c r="Q20" s="10">
        <f t="shared" si="11"/>
      </c>
      <c r="R20" s="10">
        <f t="shared" si="12"/>
      </c>
      <c r="S20" s="10"/>
      <c r="T20" s="10">
        <v>36</v>
      </c>
      <c r="U20" s="10">
        <f t="shared" si="13"/>
      </c>
      <c r="V20" s="10">
        <f t="shared" si="14"/>
      </c>
      <c r="W20" s="10"/>
      <c r="X20" s="10">
        <f t="shared" si="3"/>
      </c>
      <c r="Y20" s="10">
        <f t="shared" si="4"/>
      </c>
      <c r="Z20" s="18">
        <f t="shared" si="15"/>
      </c>
      <c r="AA20" s="18">
        <f t="shared" si="16"/>
      </c>
    </row>
    <row r="21" spans="1:27" ht="12.75">
      <c r="A21" t="s">
        <v>57</v>
      </c>
      <c r="B21">
        <f>PlotTable!F105</f>
        <v>0.17493601840073708</v>
      </c>
      <c r="C21" s="4">
        <v>19</v>
      </c>
      <c r="D21" s="4">
        <f>MAIN!F21</f>
        <v>0</v>
      </c>
      <c r="E21" s="8">
        <f>IF(D21=0,0,MAIN!G21*10^6)</f>
        <v>0</v>
      </c>
      <c r="F21" s="7">
        <f>IF(D21=0,0,MAIN!H21)</f>
        <v>0</v>
      </c>
      <c r="G21" s="10">
        <f t="shared" si="5"/>
        <v>0</v>
      </c>
      <c r="H21" s="10">
        <f t="shared" si="0"/>
        <v>0</v>
      </c>
      <c r="I21" s="10">
        <f t="shared" si="6"/>
      </c>
      <c r="J21" s="10">
        <f t="shared" si="7"/>
      </c>
      <c r="K21" s="10">
        <f t="shared" si="8"/>
      </c>
      <c r="L21" s="10">
        <f t="shared" si="1"/>
      </c>
      <c r="M21" s="10">
        <f t="shared" si="2"/>
      </c>
      <c r="N21" s="10">
        <f t="shared" si="9"/>
      </c>
      <c r="O21" s="10">
        <f t="shared" si="10"/>
      </c>
      <c r="P21" s="10">
        <v>37</v>
      </c>
      <c r="Q21" s="10">
        <f t="shared" si="11"/>
      </c>
      <c r="R21" s="10">
        <f t="shared" si="12"/>
      </c>
      <c r="S21" s="10"/>
      <c r="T21" s="10">
        <v>38</v>
      </c>
      <c r="U21" s="10">
        <f t="shared" si="13"/>
      </c>
      <c r="V21" s="10">
        <f t="shared" si="14"/>
      </c>
      <c r="W21" s="10"/>
      <c r="X21" s="10">
        <f t="shared" si="3"/>
      </c>
      <c r="Y21" s="10">
        <f t="shared" si="4"/>
      </c>
      <c r="Z21" s="18">
        <f t="shared" si="15"/>
      </c>
      <c r="AA21" s="18">
        <f t="shared" si="16"/>
      </c>
    </row>
    <row r="22" spans="1:27" ht="12.75">
      <c r="A22" t="s">
        <v>55</v>
      </c>
      <c r="B22">
        <f>PlotTable!G105</f>
        <v>374.21632572514636</v>
      </c>
      <c r="C22" s="4">
        <v>20</v>
      </c>
      <c r="D22" s="4">
        <f>MAIN!F22</f>
        <v>0</v>
      </c>
      <c r="E22" s="8">
        <f>IF(D22=0,0,MAIN!G22*10^6)</f>
        <v>0</v>
      </c>
      <c r="F22" s="7">
        <f>IF(D22=0,0,MAIN!H22)</f>
        <v>0</v>
      </c>
      <c r="G22" s="10">
        <f t="shared" si="5"/>
        <v>0</v>
      </c>
      <c r="H22" s="10">
        <f t="shared" si="0"/>
        <v>0</v>
      </c>
      <c r="I22" s="10">
        <f t="shared" si="6"/>
      </c>
      <c r="J22" s="10">
        <f t="shared" si="7"/>
      </c>
      <c r="K22" s="10">
        <f t="shared" si="8"/>
      </c>
      <c r="L22" s="10">
        <f t="shared" si="1"/>
      </c>
      <c r="M22" s="10">
        <f t="shared" si="2"/>
      </c>
      <c r="N22" s="10">
        <f t="shared" si="9"/>
      </c>
      <c r="O22" s="10">
        <f t="shared" si="10"/>
      </c>
      <c r="P22" s="10">
        <v>39</v>
      </c>
      <c r="Q22" s="10">
        <f t="shared" si="11"/>
      </c>
      <c r="R22" s="10">
        <f t="shared" si="12"/>
      </c>
      <c r="S22" s="10"/>
      <c r="T22" s="10">
        <v>40</v>
      </c>
      <c r="U22" s="10">
        <f t="shared" si="13"/>
      </c>
      <c r="V22" s="10">
        <f t="shared" si="14"/>
      </c>
      <c r="W22" s="10"/>
      <c r="X22" s="10">
        <f t="shared" si="3"/>
      </c>
      <c r="Y22" s="10">
        <f t="shared" si="4"/>
      </c>
      <c r="Z22" s="18">
        <f t="shared" si="15"/>
      </c>
      <c r="AA22" s="18">
        <f t="shared" si="16"/>
      </c>
    </row>
    <row r="23" spans="24:27" s="32" customFormat="1" ht="12.75">
      <c r="X23" s="33"/>
      <c r="Y23" s="33" t="s">
        <v>38</v>
      </c>
      <c r="Z23" s="32">
        <f>SUM(Z3:Z22)</f>
        <v>2342.053778170522</v>
      </c>
      <c r="AA23" s="32">
        <f>SUM(AA3:AA22)</f>
        <v>82.69299471105927</v>
      </c>
    </row>
    <row r="24" spans="1:27" s="32" customFormat="1" ht="12.75">
      <c r="A24" s="32">
        <v>1</v>
      </c>
      <c r="B24" s="32">
        <v>2</v>
      </c>
      <c r="C24" s="33">
        <v>3</v>
      </c>
      <c r="D24" s="32">
        <v>4</v>
      </c>
      <c r="E24" s="32">
        <v>5</v>
      </c>
      <c r="F24" s="32">
        <v>6</v>
      </c>
      <c r="G24" s="32">
        <v>7</v>
      </c>
      <c r="H24" s="33">
        <v>8</v>
      </c>
      <c r="I24" s="32">
        <v>9</v>
      </c>
      <c r="J24" s="32">
        <v>10</v>
      </c>
      <c r="K24" s="32">
        <v>11</v>
      </c>
      <c r="L24" s="32">
        <v>12</v>
      </c>
      <c r="M24" s="33">
        <v>13</v>
      </c>
      <c r="N24" s="32">
        <v>14</v>
      </c>
      <c r="O24" s="32">
        <v>15</v>
      </c>
      <c r="P24" s="32">
        <v>16</v>
      </c>
      <c r="Q24" s="32">
        <v>17</v>
      </c>
      <c r="R24" s="33">
        <v>18</v>
      </c>
      <c r="S24" s="32">
        <v>19</v>
      </c>
      <c r="T24" s="32">
        <v>20</v>
      </c>
      <c r="U24" s="32">
        <v>21</v>
      </c>
      <c r="V24" s="32">
        <v>22</v>
      </c>
      <c r="W24" s="33">
        <v>23</v>
      </c>
      <c r="X24" s="32">
        <v>24</v>
      </c>
      <c r="Y24" s="32">
        <v>25</v>
      </c>
      <c r="Z24" s="32">
        <v>26</v>
      </c>
      <c r="AA24" s="32">
        <v>27</v>
      </c>
    </row>
    <row r="25" spans="24:25" s="32" customFormat="1" ht="12.75">
      <c r="X25" s="33"/>
      <c r="Y25" s="33"/>
    </row>
    <row r="26" spans="24:25" s="34" customFormat="1" ht="12.75">
      <c r="X26" s="33"/>
      <c r="Y26" s="35"/>
    </row>
    <row r="27" ht="12.75">
      <c r="X27" s="17"/>
    </row>
    <row r="28" ht="12.75">
      <c r="X28" s="17"/>
    </row>
    <row r="29" ht="12.75">
      <c r="X29" s="17"/>
    </row>
    <row r="30" ht="12.75">
      <c r="X30" s="17"/>
    </row>
    <row r="31" ht="12.75">
      <c r="X31" s="17"/>
    </row>
    <row r="32" ht="12.75">
      <c r="X32" s="17"/>
    </row>
    <row r="33" ht="12.75">
      <c r="X33" s="17"/>
    </row>
    <row r="34" ht="12.75">
      <c r="X34" s="17"/>
    </row>
    <row r="35" ht="12.75">
      <c r="X35" s="17"/>
    </row>
    <row r="36" ht="12.75">
      <c r="X36" s="17"/>
    </row>
    <row r="37" ht="12.75">
      <c r="X37" s="17"/>
    </row>
    <row r="38" ht="12.75">
      <c r="X38" s="17"/>
    </row>
    <row r="39" ht="12.75">
      <c r="X39" s="17"/>
    </row>
    <row r="40" ht="12.75">
      <c r="X40" s="1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X105"/>
  <sheetViews>
    <sheetView zoomScalePageLayoutView="0" workbookViewId="0" topLeftCell="A1">
      <selection activeCell="K7" sqref="K7"/>
    </sheetView>
  </sheetViews>
  <sheetFormatPr defaultColWidth="9.140625" defaultRowHeight="12.75"/>
  <cols>
    <col min="11" max="11" width="11.7109375" style="0" customWidth="1"/>
    <col min="12" max="12" width="11.00390625" style="0" customWidth="1"/>
  </cols>
  <sheetData>
    <row r="1" spans="1:22" ht="15">
      <c r="A1" t="s">
        <v>43</v>
      </c>
      <c r="B1" t="s">
        <v>44</v>
      </c>
      <c r="C1" s="1" t="s">
        <v>40</v>
      </c>
      <c r="D1" s="1" t="s">
        <v>45</v>
      </c>
      <c r="E1" t="s">
        <v>42</v>
      </c>
      <c r="F1" t="s">
        <v>41</v>
      </c>
      <c r="G1" t="s">
        <v>111</v>
      </c>
      <c r="H1" t="s">
        <v>112</v>
      </c>
      <c r="I1" t="s">
        <v>11</v>
      </c>
      <c r="J1" s="1" t="s">
        <v>101</v>
      </c>
      <c r="K1" s="1" t="s">
        <v>103</v>
      </c>
      <c r="L1" s="1" t="s">
        <v>54</v>
      </c>
      <c r="M1" t="s">
        <v>60</v>
      </c>
      <c r="N1" t="s">
        <v>58</v>
      </c>
      <c r="P1" t="s">
        <v>66</v>
      </c>
      <c r="V1" t="s">
        <v>68</v>
      </c>
    </row>
    <row r="2" spans="1:16" ht="12.75">
      <c r="A2">
        <v>100</v>
      </c>
      <c r="B2">
        <v>100</v>
      </c>
      <c r="C2">
        <f>CALS!B5/A2</f>
        <v>0.24</v>
      </c>
      <c r="D2">
        <f>50*CALS!B1/B2</f>
        <v>0.565</v>
      </c>
      <c r="E2">
        <f>CALS!B8</f>
        <v>2</v>
      </c>
      <c r="F2">
        <f>CALS!B9</f>
        <v>1</v>
      </c>
      <c r="G2">
        <f>CALS!B1</f>
        <v>1.13</v>
      </c>
      <c r="H2">
        <f>CALS!B2</f>
        <v>0.56</v>
      </c>
      <c r="I2">
        <f>CALS!B3</f>
        <v>0.39774363602702684</v>
      </c>
      <c r="J2">
        <f>CALS!B12</f>
        <v>0.1551128374971689</v>
      </c>
      <c r="K2" s="71">
        <f>CALS!B15</f>
        <v>0.149554322325187</v>
      </c>
      <c r="L2">
        <v>1.065</v>
      </c>
      <c r="M2">
        <f>CALS!B5</f>
        <v>24</v>
      </c>
      <c r="P2">
        <v>2</v>
      </c>
    </row>
    <row r="4" spans="1:24" ht="15">
      <c r="A4" t="s">
        <v>49</v>
      </c>
      <c r="B4" s="1" t="s">
        <v>82</v>
      </c>
      <c r="C4" t="s">
        <v>46</v>
      </c>
      <c r="D4" t="s">
        <v>47</v>
      </c>
      <c r="E4" t="s">
        <v>48</v>
      </c>
      <c r="F4" t="s">
        <v>93</v>
      </c>
      <c r="G4" t="s">
        <v>50</v>
      </c>
      <c r="H4" t="s">
        <v>53</v>
      </c>
      <c r="I4" t="s">
        <v>107</v>
      </c>
      <c r="J4" t="s">
        <v>108</v>
      </c>
      <c r="K4" t="s">
        <v>109</v>
      </c>
      <c r="L4" t="s">
        <v>110</v>
      </c>
      <c r="N4" t="s">
        <v>61</v>
      </c>
      <c r="O4" t="s">
        <v>62</v>
      </c>
      <c r="P4" t="s">
        <v>63</v>
      </c>
      <c r="Q4" t="s">
        <v>64</v>
      </c>
      <c r="R4" t="s">
        <v>51</v>
      </c>
      <c r="S4" t="s">
        <v>65</v>
      </c>
      <c r="T4" t="s">
        <v>52</v>
      </c>
      <c r="V4" t="s">
        <v>39</v>
      </c>
      <c r="W4" t="s">
        <v>59</v>
      </c>
      <c r="X4" t="s">
        <v>59</v>
      </c>
    </row>
    <row r="5" spans="1:24" ht="12.75">
      <c r="A5">
        <v>0</v>
      </c>
      <c r="B5">
        <v>0.04567623888373447</v>
      </c>
      <c r="C5">
        <v>912190911.8415215</v>
      </c>
      <c r="D5">
        <v>-0.0012555079798187404</v>
      </c>
      <c r="E5">
        <v>0.005322062484994664</v>
      </c>
      <c r="F5">
        <f>(D5*EXP(B5*A5)+E5*EXP(-B5*A5))*1000</f>
        <v>4.066554505175923</v>
      </c>
      <c r="G5">
        <f>(-C5*D5*EXP(B5*A5)+C5*E5*EXP(-B5*A5))/1000</f>
        <v>6000</v>
      </c>
      <c r="H5">
        <v>1</v>
      </c>
      <c r="I5">
        <f>0</f>
        <v>0</v>
      </c>
      <c r="J5">
        <f>IF(I5&lt;=$I$2,1,EXP(-$J$2/$I$2*(I5-$G$2/2)))</f>
        <v>1</v>
      </c>
      <c r="K5">
        <f>$F$5*J5</f>
        <v>4.066554505175923</v>
      </c>
      <c r="L5">
        <f>$F$105*J5</f>
        <v>0.17493601840073708</v>
      </c>
      <c r="N5">
        <v>0</v>
      </c>
      <c r="O5">
        <f>I2</f>
        <v>0.39774363602702684</v>
      </c>
      <c r="P5">
        <f>IF(P2=1,N5,N5+$F$5/PLOT!$K$10)</f>
        <v>0.8133109010351847</v>
      </c>
      <c r="Q5">
        <f>O5</f>
        <v>0.39774363602702684</v>
      </c>
      <c r="R5">
        <f>-I5</f>
        <v>0</v>
      </c>
      <c r="S5">
        <f>IF($P$2=1,0,K5/PLOT!$K$10)</f>
        <v>0.8133109010351847</v>
      </c>
      <c r="T5">
        <f>IF($P$2=1,$M$2,$M$2+L5/PLOT!$K$10)</f>
        <v>24.034987203680146</v>
      </c>
      <c r="V5">
        <f>MAIN!F3</f>
        <v>11</v>
      </c>
      <c r="W5">
        <f>$R$105</f>
        <v>-47.68915278971313</v>
      </c>
      <c r="X5">
        <f>$I$7</f>
        <v>0.5710172499999999</v>
      </c>
    </row>
    <row r="6" spans="1:24" ht="12.75">
      <c r="A6">
        <f aca="true" t="shared" si="0" ref="A6:A37">A5+$C$2</f>
        <v>0.24</v>
      </c>
      <c r="B6">
        <v>0.04567623888373447</v>
      </c>
      <c r="C6">
        <v>912190911.8415215</v>
      </c>
      <c r="D6">
        <v>-0.0012555079798187404</v>
      </c>
      <c r="E6">
        <v>0.005322062484994664</v>
      </c>
      <c r="F6">
        <f aca="true" t="shared" si="1" ref="F6:F55">(D6*EXP(B6*A6)+E6*EXP(-B6*A6))*1000</f>
        <v>3.9946921232022072</v>
      </c>
      <c r="G6">
        <f aca="true" t="shared" si="2" ref="G6:G69">(-C6*D6*EXP(B6*A6)+C6*E6*EXP(-B6*A6))/1000</f>
        <v>5959.695347426461</v>
      </c>
      <c r="H6">
        <v>2</v>
      </c>
      <c r="I6">
        <f>G2/2</f>
        <v>0.565</v>
      </c>
      <c r="J6">
        <f aca="true" t="shared" si="3" ref="J6:J69">IF(I6&lt;=$I$2,1,EXP(-$J$2/$I$2*(I6-$G$2/2)))</f>
        <v>1</v>
      </c>
      <c r="K6">
        <f aca="true" t="shared" si="4" ref="K6:K69">$F$5*J6</f>
        <v>4.066554505175923</v>
      </c>
      <c r="L6">
        <f aca="true" t="shared" si="5" ref="L6:L69">$F$105*J6</f>
        <v>0.17493601840073708</v>
      </c>
      <c r="N6">
        <v>0</v>
      </c>
      <c r="O6">
        <f>-I2</f>
        <v>-0.39774363602702684</v>
      </c>
      <c r="P6">
        <f>IF(P2=1,N6,N6+$F$5/PLOT!$K$10)</f>
        <v>0.8133109010351847</v>
      </c>
      <c r="Q6">
        <f>O6</f>
        <v>-0.39774363602702684</v>
      </c>
      <c r="R6">
        <f aca="true" t="shared" si="6" ref="R6:R69">-I6</f>
        <v>-0.565</v>
      </c>
      <c r="S6">
        <f>IF($P$2=1,0,K6/PLOT!$K$10)</f>
        <v>0.8133109010351847</v>
      </c>
      <c r="T6">
        <f>IF($P$2=1,$M$2,$M$2+L6/PLOT!$K$10)</f>
        <v>24.034987203680146</v>
      </c>
      <c r="V6">
        <f>V5</f>
        <v>11</v>
      </c>
      <c r="W6">
        <f>$R$7</f>
        <v>-0.5710172499999999</v>
      </c>
      <c r="X6">
        <f>$I$105</f>
        <v>47.68915278971313</v>
      </c>
    </row>
    <row r="7" spans="1:23" ht="12.75">
      <c r="A7">
        <f t="shared" si="0"/>
        <v>0.48</v>
      </c>
      <c r="B7">
        <v>0.04567623888373447</v>
      </c>
      <c r="C7">
        <v>912190911.8415215</v>
      </c>
      <c r="D7">
        <v>-0.0012555079798187404</v>
      </c>
      <c r="E7">
        <v>0.005322062484994664</v>
      </c>
      <c r="F7">
        <f t="shared" si="1"/>
        <v>3.9233097960291072</v>
      </c>
      <c r="G7">
        <f t="shared" si="2"/>
        <v>5920.106890312672</v>
      </c>
      <c r="H7">
        <v>3</v>
      </c>
      <c r="I7">
        <f>I6+($G$2/200)*$L$2^(H7-2)</f>
        <v>0.5710172499999999</v>
      </c>
      <c r="J7">
        <f t="shared" si="3"/>
        <v>0.9976561322884033</v>
      </c>
      <c r="K7">
        <f t="shared" si="4"/>
        <v>4.057023039373793</v>
      </c>
      <c r="L7">
        <f t="shared" si="5"/>
        <v>0.17452599151561232</v>
      </c>
      <c r="N7">
        <f>M2</f>
        <v>24</v>
      </c>
      <c r="O7">
        <f>-I2</f>
        <v>-0.39774363602702684</v>
      </c>
      <c r="P7">
        <f>IF(P2=1,N7,N7+$F$105/PLOT!$K$10)</f>
        <v>24.034987203680146</v>
      </c>
      <c r="Q7">
        <f>O7</f>
        <v>-0.39774363602702684</v>
      </c>
      <c r="R7">
        <f t="shared" si="6"/>
        <v>-0.5710172499999999</v>
      </c>
      <c r="S7">
        <f>IF($P$2=1,0,K7/PLOT!$K$10)</f>
        <v>0.8114046078747587</v>
      </c>
      <c r="T7">
        <f>IF($P$2=1,$M$2,$M$2+L7/PLOT!$K$10)</f>
        <v>24.03490519830312</v>
      </c>
      <c r="W7">
        <f>$R$105</f>
        <v>-47.68915278971313</v>
      </c>
    </row>
    <row r="8" spans="1:23" ht="12.75">
      <c r="A8">
        <f t="shared" si="0"/>
        <v>0.72</v>
      </c>
      <c r="B8">
        <v>0.04567623888373447</v>
      </c>
      <c r="C8">
        <v>912190911.8415215</v>
      </c>
      <c r="D8">
        <v>-0.0012555079798187404</v>
      </c>
      <c r="E8">
        <v>0.005322062484994664</v>
      </c>
      <c r="F8">
        <f t="shared" si="1"/>
        <v>3.852398945416349</v>
      </c>
      <c r="G8">
        <f t="shared" si="2"/>
        <v>5881.229871188393</v>
      </c>
      <c r="H8">
        <v>4</v>
      </c>
      <c r="I8">
        <f aca="true" t="shared" si="7" ref="I8:I71">I7+($G$2/200)*$L$2^(H8-2)</f>
        <v>0.57742562125</v>
      </c>
      <c r="J8">
        <f t="shared" si="3"/>
        <v>0.9951659538272214</v>
      </c>
      <c r="K8">
        <f t="shared" si="4"/>
        <v>4.046896592933782</v>
      </c>
      <c r="L8">
        <f t="shared" si="5"/>
        <v>0.17409036961050586</v>
      </c>
      <c r="N8">
        <f>M2</f>
        <v>24</v>
      </c>
      <c r="O8">
        <f>I2</f>
        <v>0.39774363602702684</v>
      </c>
      <c r="P8">
        <f>IF(P2=1,N8,N8+$F$105/PLOT!$K$10)</f>
        <v>24.034987203680146</v>
      </c>
      <c r="Q8">
        <f>O8</f>
        <v>0.39774363602702684</v>
      </c>
      <c r="R8">
        <f t="shared" si="6"/>
        <v>-0.57742562125</v>
      </c>
      <c r="S8">
        <f>IF($P$2=1,0,K8/PLOT!$K$10)</f>
        <v>0.8093793185867565</v>
      </c>
      <c r="T8">
        <f>IF($P$2=1,$M$2,$M$2+L8/PLOT!$K$10)</f>
        <v>24.0348180739221</v>
      </c>
      <c r="W8">
        <f>$R$7</f>
        <v>-0.5710172499999999</v>
      </c>
    </row>
    <row r="9" spans="1:23" ht="12.75">
      <c r="A9">
        <f t="shared" si="0"/>
        <v>0.96</v>
      </c>
      <c r="B9">
        <v>0.04567623888373447</v>
      </c>
      <c r="C9">
        <v>912190911.8415215</v>
      </c>
      <c r="D9">
        <v>-0.0012555079798187404</v>
      </c>
      <c r="E9">
        <v>0.005322062484994664</v>
      </c>
      <c r="F9">
        <f t="shared" si="1"/>
        <v>3.7819510497824975</v>
      </c>
      <c r="G9">
        <f t="shared" si="2"/>
        <v>5843.059618079143</v>
      </c>
      <c r="H9">
        <v>5</v>
      </c>
      <c r="I9">
        <f t="shared" si="7"/>
        <v>0.5842505366312499</v>
      </c>
      <c r="J9">
        <f t="shared" si="3"/>
        <v>0.9925207481006268</v>
      </c>
      <c r="K9">
        <f t="shared" si="4"/>
        <v>4.0361397196691815</v>
      </c>
      <c r="L9">
        <f t="shared" si="5"/>
        <v>0.17362762785284458</v>
      </c>
      <c r="N9">
        <v>0</v>
      </c>
      <c r="O9">
        <f>O5</f>
        <v>0.39774363602702684</v>
      </c>
      <c r="P9">
        <f>P5</f>
        <v>0.8133109010351847</v>
      </c>
      <c r="Q9">
        <f>Q5</f>
        <v>0.39774363602702684</v>
      </c>
      <c r="R9">
        <f t="shared" si="6"/>
        <v>-0.5842505366312499</v>
      </c>
      <c r="S9">
        <f>IF($P$2=1,0,K9/PLOT!$K$10)</f>
        <v>0.8072279439338363</v>
      </c>
      <c r="T9">
        <f>IF($P$2=1,$M$2,$M$2+L9/PLOT!$K$10)</f>
        <v>24.03472552557057</v>
      </c>
      <c r="W9">
        <f>$R$105</f>
        <v>-47.68915278971313</v>
      </c>
    </row>
    <row r="10" spans="1:23" ht="12.75">
      <c r="A10">
        <f t="shared" si="0"/>
        <v>1.2</v>
      </c>
      <c r="B10">
        <v>0.04567623888373447</v>
      </c>
      <c r="C10">
        <v>912190911.8415215</v>
      </c>
      <c r="D10">
        <v>-0.0012555079798187404</v>
      </c>
      <c r="E10">
        <v>0.005322062484994664</v>
      </c>
      <c r="F10">
        <f t="shared" si="1"/>
        <v>3.7119576431808765</v>
      </c>
      <c r="G10">
        <f t="shared" si="2"/>
        <v>5805.591543944748</v>
      </c>
      <c r="H10">
        <v>6</v>
      </c>
      <c r="I10">
        <f t="shared" si="7"/>
        <v>0.5915190715122812</v>
      </c>
      <c r="J10">
        <f t="shared" si="3"/>
        <v>0.9897113350439176</v>
      </c>
      <c r="K10">
        <f t="shared" si="4"/>
        <v>4.024715088346521</v>
      </c>
      <c r="L10">
        <f t="shared" si="5"/>
        <v>0.17313616031866083</v>
      </c>
      <c r="R10">
        <f t="shared" si="6"/>
        <v>-0.5915190715122812</v>
      </c>
      <c r="S10">
        <f>IF($P$2=1,0,K10/PLOT!$K$10)</f>
        <v>0.8049430176693042</v>
      </c>
      <c r="T10">
        <f>IF($P$2=1,$M$2,$M$2+L10/PLOT!$K$10)</f>
        <v>24.03462723206373</v>
      </c>
      <c r="W10">
        <f>$R$7</f>
        <v>-0.5710172499999999</v>
      </c>
    </row>
    <row r="11" spans="1:23" ht="12.75">
      <c r="A11">
        <f t="shared" si="0"/>
        <v>1.44</v>
      </c>
      <c r="B11">
        <v>0.04567623888373447</v>
      </c>
      <c r="C11">
        <v>912190911.8415215</v>
      </c>
      <c r="D11">
        <v>-0.0012555079798187404</v>
      </c>
      <c r="E11">
        <v>0.005322062484994664</v>
      </c>
      <c r="F11">
        <f t="shared" si="1"/>
        <v>3.6424103142822</v>
      </c>
      <c r="G11">
        <f t="shared" si="2"/>
        <v>5768.821146128108</v>
      </c>
      <c r="H11">
        <v>7</v>
      </c>
      <c r="I11">
        <f t="shared" si="7"/>
        <v>0.5992600611605795</v>
      </c>
      <c r="J11">
        <f t="shared" si="3"/>
        <v>0.9867280540270711</v>
      </c>
      <c r="K11">
        <f t="shared" si="4"/>
        <v>4.012583413487258</v>
      </c>
      <c r="L11">
        <f t="shared" si="5"/>
        <v>0.1726142770158032</v>
      </c>
      <c r="R11">
        <f t="shared" si="6"/>
        <v>-0.5992600611605795</v>
      </c>
      <c r="S11">
        <f>IF($P$2=1,0,K11/PLOT!$K$10)</f>
        <v>0.8025166826974516</v>
      </c>
      <c r="T11">
        <f>IF($P$2=1,$M$2,$M$2+L11/PLOT!$K$10)</f>
        <v>24.03452285540316</v>
      </c>
      <c r="W11">
        <f>$R$105</f>
        <v>-47.68915278971313</v>
      </c>
    </row>
    <row r="12" spans="1:23" ht="12.75">
      <c r="A12">
        <f t="shared" si="0"/>
        <v>1.68</v>
      </c>
      <c r="B12">
        <v>0.04567623888373447</v>
      </c>
      <c r="C12">
        <v>912190911.8415215</v>
      </c>
      <c r="D12">
        <v>-0.0012555079798187404</v>
      </c>
      <c r="E12">
        <v>0.005322062484994664</v>
      </c>
      <c r="F12">
        <f t="shared" si="1"/>
        <v>3.5733007053637498</v>
      </c>
      <c r="G12">
        <f t="shared" si="2"/>
        <v>5732.744005814092</v>
      </c>
      <c r="H12">
        <v>8</v>
      </c>
      <c r="I12">
        <f t="shared" si="7"/>
        <v>0.6075042151360172</v>
      </c>
      <c r="J12">
        <f t="shared" si="3"/>
        <v>0.9835607473482215</v>
      </c>
      <c r="K12">
        <f t="shared" si="4"/>
        <v>3.999703388243108</v>
      </c>
      <c r="L12">
        <f t="shared" si="5"/>
        <v>0.1720602009963512</v>
      </c>
      <c r="R12">
        <f t="shared" si="6"/>
        <v>-0.6075042151360172</v>
      </c>
      <c r="S12">
        <f>IF($P$2=1,0,K12/PLOT!$K$10)</f>
        <v>0.7999406776486216</v>
      </c>
      <c r="T12">
        <f>IF($P$2=1,$M$2,$M$2+L12/PLOT!$K$10)</f>
        <v>24.03441204019927</v>
      </c>
      <c r="W12">
        <f>$R$7</f>
        <v>-0.5710172499999999</v>
      </c>
    </row>
    <row r="13" spans="1:23" ht="12.75">
      <c r="A13">
        <f t="shared" si="0"/>
        <v>1.92</v>
      </c>
      <c r="B13">
        <v>0.04567623888373447</v>
      </c>
      <c r="C13">
        <v>912190911.8415215</v>
      </c>
      <c r="D13">
        <v>-0.0012555079798187404</v>
      </c>
      <c r="E13">
        <v>0.005322062484994664</v>
      </c>
      <c r="F13">
        <f t="shared" si="1"/>
        <v>3.5046205113050046</v>
      </c>
      <c r="G13">
        <f t="shared" si="2"/>
        <v>5697.355787498521</v>
      </c>
      <c r="H13">
        <v>9</v>
      </c>
      <c r="I13">
        <f t="shared" si="7"/>
        <v>0.6162842391198583</v>
      </c>
      <c r="J13">
        <f t="shared" si="3"/>
        <v>0.9801987444583087</v>
      </c>
      <c r="K13">
        <f t="shared" si="4"/>
        <v>3.986031620244719</v>
      </c>
      <c r="L13">
        <f t="shared" si="5"/>
        <v>0.17147206559693806</v>
      </c>
      <c r="R13">
        <f t="shared" si="6"/>
        <v>-0.6162842391198583</v>
      </c>
      <c r="S13">
        <f>IF($P$2=1,0,K13/PLOT!$K$10)</f>
        <v>0.7972063240489438</v>
      </c>
      <c r="T13">
        <f>IF($P$2=1,$M$2,$M$2+L13/PLOT!$K$10)</f>
        <v>24.034294413119387</v>
      </c>
      <c r="W13">
        <f>$R$105</f>
        <v>-47.68915278971313</v>
      </c>
    </row>
    <row r="14" spans="1:23" ht="12.75">
      <c r="A14">
        <f t="shared" si="0"/>
        <v>2.16</v>
      </c>
      <c r="B14">
        <v>0.04567623888373447</v>
      </c>
      <c r="C14">
        <v>912190911.8415215</v>
      </c>
      <c r="D14">
        <v>-0.0012555079798187404</v>
      </c>
      <c r="E14">
        <v>0.005322062484994664</v>
      </c>
      <c r="F14">
        <f t="shared" si="1"/>
        <v>3.4363614785895864</v>
      </c>
      <c r="G14">
        <f t="shared" si="2"/>
        <v>5662.65223846715</v>
      </c>
      <c r="H14">
        <v>10</v>
      </c>
      <c r="I14">
        <f t="shared" si="7"/>
        <v>0.6256349646626491</v>
      </c>
      <c r="J14">
        <f t="shared" si="3"/>
        <v>0.9766308471721209</v>
      </c>
      <c r="K14">
        <f t="shared" si="4"/>
        <v>3.9715225714615667</v>
      </c>
      <c r="L14">
        <f t="shared" si="5"/>
        <v>0.1708479118516296</v>
      </c>
      <c r="R14">
        <f t="shared" si="6"/>
        <v>-0.6256349646626491</v>
      </c>
      <c r="S14">
        <f>IF($P$2=1,0,K14/PLOT!$K$10)</f>
        <v>0.7943045142923133</v>
      </c>
      <c r="T14">
        <f>IF($P$2=1,$M$2,$M$2+L14/PLOT!$K$10)</f>
        <v>24.034169582370325</v>
      </c>
      <c r="W14">
        <f>$R$7</f>
        <v>-0.5710172499999999</v>
      </c>
    </row>
    <row r="15" spans="1:23" ht="12.75">
      <c r="A15">
        <f t="shared" si="0"/>
        <v>2.4000000000000004</v>
      </c>
      <c r="B15">
        <v>0.04567623888373447</v>
      </c>
      <c r="C15">
        <v>912190911.8415215</v>
      </c>
      <c r="D15">
        <v>-0.0012555079798187404</v>
      </c>
      <c r="E15">
        <v>0.005322062484994664</v>
      </c>
      <c r="F15">
        <f t="shared" si="1"/>
        <v>3.368515404313407</v>
      </c>
      <c r="G15">
        <f t="shared" si="2"/>
        <v>5628.629188284614</v>
      </c>
      <c r="H15">
        <v>11</v>
      </c>
      <c r="I15">
        <f t="shared" si="7"/>
        <v>0.6355934873657213</v>
      </c>
      <c r="J15">
        <f t="shared" si="3"/>
        <v>0.9728453161586796</v>
      </c>
      <c r="K15">
        <f t="shared" si="4"/>
        <v>3.9561285032643743</v>
      </c>
      <c r="L15">
        <f t="shared" si="5"/>
        <v>0.17018568612860566</v>
      </c>
      <c r="R15">
        <f t="shared" si="6"/>
        <v>-0.6355934873657213</v>
      </c>
      <c r="S15">
        <f>IF($P$2=1,0,K15/PLOT!$K$10)</f>
        <v>0.7912257006528749</v>
      </c>
      <c r="T15">
        <f>IF($P$2=1,$M$2,$M$2+L15/PLOT!$K$10)</f>
        <v>24.03403713722572</v>
      </c>
      <c r="W15">
        <f>$R$105</f>
        <v>-47.68915278971313</v>
      </c>
    </row>
    <row r="16" spans="1:23" ht="12.75">
      <c r="A16">
        <f t="shared" si="0"/>
        <v>2.6400000000000006</v>
      </c>
      <c r="B16">
        <v>0.04567623888373447</v>
      </c>
      <c r="C16">
        <v>912190911.8415215</v>
      </c>
      <c r="D16">
        <v>-0.0012555079798187404</v>
      </c>
      <c r="E16">
        <v>0.005322062484994664</v>
      </c>
      <c r="F16">
        <f t="shared" si="1"/>
        <v>3.301074135198907</v>
      </c>
      <c r="G16">
        <f t="shared" si="2"/>
        <v>5595.282548293247</v>
      </c>
      <c r="H16">
        <v>12</v>
      </c>
      <c r="I16">
        <f t="shared" si="7"/>
        <v>0.6461993140444932</v>
      </c>
      <c r="J16">
        <f t="shared" si="3"/>
        <v>0.9688298590456526</v>
      </c>
      <c r="K16">
        <f t="shared" si="4"/>
        <v>3.939799428051053</v>
      </c>
      <c r="L16">
        <f t="shared" si="5"/>
        <v>0.1694832380491938</v>
      </c>
      <c r="R16">
        <f t="shared" si="6"/>
        <v>-0.6461993140444932</v>
      </c>
      <c r="S16">
        <f>IF($P$2=1,0,K16/PLOT!$K$10)</f>
        <v>0.7879598856102106</v>
      </c>
      <c r="T16">
        <f>IF($P$2=1,$M$2,$M$2+L16/PLOT!$K$10)</f>
        <v>24.03389664760984</v>
      </c>
      <c r="W16">
        <f>$R$7</f>
        <v>-0.5710172499999999</v>
      </c>
    </row>
    <row r="17" spans="1:23" ht="12.75">
      <c r="A17">
        <f t="shared" si="0"/>
        <v>2.880000000000001</v>
      </c>
      <c r="B17">
        <v>0.04567623888373447</v>
      </c>
      <c r="C17">
        <v>912190911.8415215</v>
      </c>
      <c r="D17">
        <v>-0.0012555079798187404</v>
      </c>
      <c r="E17">
        <v>0.005322062484994664</v>
      </c>
      <c r="F17">
        <f t="shared" si="1"/>
        <v>3.2340295666152388</v>
      </c>
      <c r="G17">
        <f t="shared" si="2"/>
        <v>5562.608311121737</v>
      </c>
      <c r="H17">
        <v>13</v>
      </c>
      <c r="I17">
        <f t="shared" si="7"/>
        <v>0.6574945194573852</v>
      </c>
      <c r="J17">
        <f t="shared" si="3"/>
        <v>0.9645716205184488</v>
      </c>
      <c r="K17">
        <f t="shared" si="4"/>
        <v>3.922483068984139</v>
      </c>
      <c r="L17">
        <f t="shared" si="5"/>
        <v>0.16873831875584414</v>
      </c>
      <c r="R17">
        <f t="shared" si="6"/>
        <v>-0.6574945194573852</v>
      </c>
      <c r="S17">
        <f>IF($P$2=1,0,K17/PLOT!$K$10)</f>
        <v>0.7844966137968278</v>
      </c>
      <c r="T17">
        <f>IF($P$2=1,$M$2,$M$2+L17/PLOT!$K$10)</f>
        <v>24.033747663751168</v>
      </c>
      <c r="W17">
        <f>$R$105</f>
        <v>-47.68915278971313</v>
      </c>
    </row>
    <row r="18" spans="1:23" ht="12.75">
      <c r="A18">
        <f t="shared" si="0"/>
        <v>3.120000000000001</v>
      </c>
      <c r="B18">
        <v>0.04567623888373447</v>
      </c>
      <c r="C18">
        <v>912190911.8415215</v>
      </c>
      <c r="D18">
        <v>-0.0012555079798187404</v>
      </c>
      <c r="E18">
        <v>0.005322062484994664</v>
      </c>
      <c r="F18">
        <f t="shared" si="1"/>
        <v>3.167373641604317</v>
      </c>
      <c r="G18">
        <f t="shared" si="2"/>
        <v>5530.602550203548</v>
      </c>
      <c r="H18">
        <v>14</v>
      </c>
      <c r="I18">
        <f t="shared" si="7"/>
        <v>0.6695239132221152</v>
      </c>
      <c r="J18">
        <f t="shared" si="3"/>
        <v>0.9600571748450766</v>
      </c>
      <c r="K18">
        <f t="shared" si="4"/>
        <v>3.9041248295927153</v>
      </c>
      <c r="L18">
        <f t="shared" si="5"/>
        <v>0.16794857960445797</v>
      </c>
      <c r="R18">
        <f t="shared" si="6"/>
        <v>-0.6695239132221152</v>
      </c>
      <c r="S18">
        <f>IF($P$2=1,0,K18/PLOT!$K$10)</f>
        <v>0.7808249659185431</v>
      </c>
      <c r="T18">
        <f>IF($P$2=1,$M$2,$M$2+L18/PLOT!$K$10)</f>
        <v>24.033589715920893</v>
      </c>
      <c r="W18">
        <f>$R$7</f>
        <v>-0.5710172499999999</v>
      </c>
    </row>
    <row r="19" spans="1:23" ht="12.75">
      <c r="A19">
        <f t="shared" si="0"/>
        <v>3.360000000000001</v>
      </c>
      <c r="B19">
        <v>0.04567623888373447</v>
      </c>
      <c r="C19">
        <v>912190911.8415215</v>
      </c>
      <c r="D19">
        <v>-0.0012555079798187404</v>
      </c>
      <c r="E19">
        <v>0.005322062484994664</v>
      </c>
      <c r="F19">
        <f t="shared" si="1"/>
        <v>3.1010983499125833</v>
      </c>
      <c r="G19">
        <f t="shared" si="2"/>
        <v>5499.261419305055</v>
      </c>
      <c r="H19">
        <v>15</v>
      </c>
      <c r="I19">
        <f t="shared" si="7"/>
        <v>0.6823352175815527</v>
      </c>
      <c r="J19">
        <f t="shared" si="3"/>
        <v>0.9552725213128642</v>
      </c>
      <c r="K19">
        <f t="shared" si="4"/>
        <v>3.884667775215591</v>
      </c>
      <c r="L19">
        <f t="shared" si="5"/>
        <v>0.16711157136610572</v>
      </c>
      <c r="R19">
        <f t="shared" si="6"/>
        <v>-0.6823352175815527</v>
      </c>
      <c r="S19">
        <f>IF($P$2=1,0,K19/PLOT!$K$10)</f>
        <v>0.7769335550431182</v>
      </c>
      <c r="T19">
        <f>IF($P$2=1,$M$2,$M$2+L19/PLOT!$K$10)</f>
        <v>24.03342231427322</v>
      </c>
      <c r="W19">
        <f>$R$105</f>
        <v>-47.68915278971313</v>
      </c>
    </row>
    <row r="20" spans="1:23" ht="12.75">
      <c r="A20">
        <f t="shared" si="0"/>
        <v>3.6000000000000014</v>
      </c>
      <c r="B20">
        <v>0.04567623888373447</v>
      </c>
      <c r="C20">
        <v>912190911.8415215</v>
      </c>
      <c r="D20">
        <v>-0.0012555079798187404</v>
      </c>
      <c r="E20">
        <v>0.005322062484994664</v>
      </c>
      <c r="F20">
        <f t="shared" si="1"/>
        <v>3.0351957270283925</v>
      </c>
      <c r="G20">
        <f t="shared" si="2"/>
        <v>5468.58115206332</v>
      </c>
      <c r="H20">
        <v>16</v>
      </c>
      <c r="I20">
        <f t="shared" si="7"/>
        <v>0.6959792567243536</v>
      </c>
      <c r="J20">
        <f t="shared" si="3"/>
        <v>0.9502030831228924</v>
      </c>
      <c r="K20">
        <f t="shared" si="4"/>
        <v>3.8640526285054504</v>
      </c>
      <c r="L20">
        <f t="shared" si="5"/>
        <v>0.16622474403362342</v>
      </c>
      <c r="R20">
        <f t="shared" si="6"/>
        <v>-0.6959792567243536</v>
      </c>
      <c r="S20">
        <f>IF($P$2=1,0,K20/PLOT!$K$10)</f>
        <v>0.7728105257010901</v>
      </c>
      <c r="T20">
        <f>IF($P$2=1,$M$2,$M$2+L20/PLOT!$K$10)</f>
        <v>24.033244948806725</v>
      </c>
      <c r="W20">
        <f>$R$7</f>
        <v>-0.5710172499999999</v>
      </c>
    </row>
    <row r="21" spans="1:23" ht="12.75">
      <c r="A21">
        <f t="shared" si="0"/>
        <v>3.8400000000000016</v>
      </c>
      <c r="B21">
        <v>0.04567623888373447</v>
      </c>
      <c r="C21">
        <v>912190911.8415215</v>
      </c>
      <c r="D21">
        <v>-0.0012555079798187404</v>
      </c>
      <c r="E21">
        <v>0.005322062484994664</v>
      </c>
      <c r="F21">
        <f t="shared" si="1"/>
        <v>2.9696578532248887</v>
      </c>
      <c r="G21">
        <f t="shared" si="2"/>
        <v>5438.558061533491</v>
      </c>
      <c r="H21">
        <v>17</v>
      </c>
      <c r="I21">
        <f t="shared" si="7"/>
        <v>0.7105101584114365</v>
      </c>
      <c r="J21">
        <f t="shared" si="3"/>
        <v>0.9448337103524574</v>
      </c>
      <c r="K21">
        <f t="shared" si="4"/>
        <v>3.842217781475869</v>
      </c>
      <c r="L21">
        <f t="shared" si="5"/>
        <v>0.16528544733985417</v>
      </c>
      <c r="R21">
        <f t="shared" si="6"/>
        <v>-0.7105101584114365</v>
      </c>
      <c r="S21">
        <f>IF($P$2=1,0,K21/PLOT!$K$10)</f>
        <v>0.7684435562951738</v>
      </c>
      <c r="T21">
        <f>IF($P$2=1,$M$2,$M$2+L21/PLOT!$K$10)</f>
        <v>24.03305708946797</v>
      </c>
      <c r="W21">
        <f>$R$105</f>
        <v>-47.68915278971313</v>
      </c>
    </row>
    <row r="22" spans="1:23" ht="12.75">
      <c r="A22">
        <f t="shared" si="0"/>
        <v>4.080000000000002</v>
      </c>
      <c r="B22">
        <v>0.04567623888373447</v>
      </c>
      <c r="C22">
        <v>912190911.8415215</v>
      </c>
      <c r="D22">
        <v>-0.0012555079798187404</v>
      </c>
      <c r="E22">
        <v>0.005322062484994664</v>
      </c>
      <c r="F22">
        <f t="shared" si="1"/>
        <v>2.9044768526082674</v>
      </c>
      <c r="G22">
        <f t="shared" si="2"/>
        <v>5409.188539745716</v>
      </c>
      <c r="H22">
        <v>18</v>
      </c>
      <c r="I22">
        <f t="shared" si="7"/>
        <v>0.7259855687081799</v>
      </c>
      <c r="J22">
        <f t="shared" si="3"/>
        <v>0.9391486876650224</v>
      </c>
      <c r="K22">
        <f t="shared" si="4"/>
        <v>3.8190993268542526</v>
      </c>
      <c r="L22">
        <f t="shared" si="5"/>
        <v>0.16429093210639642</v>
      </c>
      <c r="R22">
        <f t="shared" si="6"/>
        <v>-0.7259855687081799</v>
      </c>
      <c r="S22">
        <f>IF($P$2=1,0,K22/PLOT!$K$10)</f>
        <v>0.7638198653708506</v>
      </c>
      <c r="T22">
        <f>IF($P$2=1,$M$2,$M$2+L22/PLOT!$K$10)</f>
        <v>24.03285818642128</v>
      </c>
      <c r="W22">
        <f>$R$7</f>
        <v>-0.5710172499999999</v>
      </c>
    </row>
    <row r="23" spans="1:23" ht="12.75">
      <c r="A23">
        <f t="shared" si="0"/>
        <v>4.320000000000002</v>
      </c>
      <c r="B23">
        <v>0.04567623888373447</v>
      </c>
      <c r="C23">
        <v>912190911.8415215</v>
      </c>
      <c r="D23">
        <v>-0.0012555079798187404</v>
      </c>
      <c r="E23">
        <v>0.005322062484994664</v>
      </c>
      <c r="F23">
        <f t="shared" si="1"/>
        <v>2.839644892171306</v>
      </c>
      <c r="G23">
        <f t="shared" si="2"/>
        <v>5380.469057271574</v>
      </c>
      <c r="H23">
        <v>19</v>
      </c>
      <c r="I23">
        <f t="shared" si="7"/>
        <v>0.7424668806742115</v>
      </c>
      <c r="J23">
        <f t="shared" si="3"/>
        <v>0.9331317475206788</v>
      </c>
      <c r="K23">
        <f t="shared" si="4"/>
        <v>3.794631111802899</v>
      </c>
      <c r="L23">
        <f t="shared" si="5"/>
        <v>0.16323835255458943</v>
      </c>
      <c r="R23">
        <f t="shared" si="6"/>
        <v>-0.7424668806742115</v>
      </c>
      <c r="S23">
        <f>IF($P$2=1,0,K23/PLOT!$K$10)</f>
        <v>0.7589262223605797</v>
      </c>
      <c r="T23">
        <f>IF($P$2=1,$M$2,$M$2+L23/PLOT!$K$10)</f>
        <v>24.03264767051092</v>
      </c>
      <c r="W23">
        <f>$R$105</f>
        <v>-47.68915278971313</v>
      </c>
    </row>
    <row r="24" spans="1:23" ht="12.75">
      <c r="A24">
        <f t="shared" si="0"/>
        <v>4.560000000000002</v>
      </c>
      <c r="B24">
        <v>0.04567623888373447</v>
      </c>
      <c r="C24">
        <v>912190911.8415215</v>
      </c>
      <c r="D24">
        <v>-0.0012555079798187404</v>
      </c>
      <c r="E24">
        <v>0.005322062484994664</v>
      </c>
      <c r="F24">
        <f t="shared" si="1"/>
        <v>2.7751541808520455</v>
      </c>
      <c r="G24">
        <f t="shared" si="2"/>
        <v>5352.39616279992</v>
      </c>
      <c r="H24">
        <v>20</v>
      </c>
      <c r="I24">
        <f t="shared" si="7"/>
        <v>0.7600194779180353</v>
      </c>
      <c r="J24">
        <f t="shared" si="3"/>
        <v>0.926766089717775</v>
      </c>
      <c r="K24">
        <f t="shared" si="4"/>
        <v>3.7687448173860916</v>
      </c>
      <c r="L24">
        <f t="shared" si="5"/>
        <v>0.16212476972404782</v>
      </c>
      <c r="R24">
        <f t="shared" si="6"/>
        <v>-0.7600194779180353</v>
      </c>
      <c r="S24">
        <f>IF($P$2=1,0,K24/PLOT!$K$10)</f>
        <v>0.7537489634772183</v>
      </c>
      <c r="T24">
        <f>IF($P$2=1,$M$2,$M$2+L24/PLOT!$K$10)</f>
        <v>24.03242495394481</v>
      </c>
      <c r="W24">
        <f>$R$7</f>
        <v>-0.5710172499999999</v>
      </c>
    </row>
    <row r="25" spans="1:23" ht="12.75">
      <c r="A25">
        <f t="shared" si="0"/>
        <v>4.8000000000000025</v>
      </c>
      <c r="B25">
        <v>0.04567623888373447</v>
      </c>
      <c r="C25">
        <v>912190911.8415215</v>
      </c>
      <c r="D25">
        <v>-0.0012555079798187404</v>
      </c>
      <c r="E25">
        <v>0.005322062484994664</v>
      </c>
      <c r="F25">
        <f t="shared" si="1"/>
        <v>2.710996968597512</v>
      </c>
      <c r="G25">
        <f t="shared" si="2"/>
        <v>5324.966482722141</v>
      </c>
      <c r="H25">
        <v>21</v>
      </c>
      <c r="I25">
        <f t="shared" si="7"/>
        <v>0.7787129939827075</v>
      </c>
      <c r="J25">
        <f t="shared" si="3"/>
        <v>0.9200344081774364</v>
      </c>
      <c r="K25">
        <f t="shared" si="4"/>
        <v>3.7413700674908186</v>
      </c>
      <c r="L25">
        <f t="shared" si="5"/>
        <v>0.16094715615823926</v>
      </c>
      <c r="R25">
        <f t="shared" si="6"/>
        <v>-0.7787129939827075</v>
      </c>
      <c r="S25">
        <f>IF($P$2=1,0,K25/PLOT!$K$10)</f>
        <v>0.7482740134981637</v>
      </c>
      <c r="T25">
        <f>IF($P$2=1,$M$2,$M$2+L25/PLOT!$K$10)</f>
        <v>24.032189431231647</v>
      </c>
      <c r="W25">
        <f>$R$105</f>
        <v>-47.68915278971313</v>
      </c>
    </row>
    <row r="26" spans="1:23" ht="12.75">
      <c r="A26">
        <f t="shared" si="0"/>
        <v>5.040000000000003</v>
      </c>
      <c r="B26">
        <v>0.04567623888373447</v>
      </c>
      <c r="C26">
        <v>912190911.8415215</v>
      </c>
      <c r="D26">
        <v>-0.0012555079798187404</v>
      </c>
      <c r="E26">
        <v>0.005322062484994664</v>
      </c>
      <c r="F26">
        <f t="shared" si="1"/>
        <v>2.647165545432373</v>
      </c>
      <c r="G26">
        <f t="shared" si="2"/>
        <v>5298.176720726735</v>
      </c>
      <c r="H26">
        <v>22</v>
      </c>
      <c r="I26">
        <f t="shared" si="7"/>
        <v>0.7986215885915835</v>
      </c>
      <c r="J26">
        <f t="shared" si="3"/>
        <v>0.9129189259663946</v>
      </c>
      <c r="K26">
        <f t="shared" si="4"/>
        <v>3.712434571249007</v>
      </c>
      <c r="L26">
        <f t="shared" si="5"/>
        <v>0.15970240203123834</v>
      </c>
      <c r="R26">
        <f t="shared" si="6"/>
        <v>-0.7986215885915835</v>
      </c>
      <c r="S26">
        <f>IF($P$2=1,0,K26/PLOT!$K$10)</f>
        <v>0.7424869142498014</v>
      </c>
      <c r="T26">
        <f>IF($P$2=1,$M$2,$M$2+L26/PLOT!$K$10)</f>
        <v>24.03194048040625</v>
      </c>
      <c r="W26">
        <f>$R$7</f>
        <v>-0.5710172499999999</v>
      </c>
    </row>
    <row r="27" spans="1:23" ht="12.75">
      <c r="A27">
        <f t="shared" si="0"/>
        <v>5.280000000000003</v>
      </c>
      <c r="B27">
        <v>0.04567623888373447</v>
      </c>
      <c r="C27">
        <v>912190911.8415215</v>
      </c>
      <c r="D27">
        <v>-0.0012555079798187404</v>
      </c>
      <c r="E27">
        <v>0.005322062484994664</v>
      </c>
      <c r="F27">
        <f t="shared" si="1"/>
        <v>2.5836522405324</v>
      </c>
      <c r="G27">
        <f t="shared" si="2"/>
        <v>5272.023657403176</v>
      </c>
      <c r="H27">
        <v>23</v>
      </c>
      <c r="I27">
        <f t="shared" si="7"/>
        <v>0.8198242418500364</v>
      </c>
      <c r="J27">
        <f t="shared" si="3"/>
        <v>0.9054014396386332</v>
      </c>
      <c r="K27">
        <f t="shared" si="4"/>
        <v>3.6818643033552507</v>
      </c>
      <c r="L27">
        <f t="shared" si="5"/>
        <v>0.15838732290467777</v>
      </c>
      <c r="R27">
        <f t="shared" si="6"/>
        <v>-0.8198242418500364</v>
      </c>
      <c r="S27">
        <f>IF($P$2=1,0,K27/PLOT!$K$10)</f>
        <v>0.7363728606710501</v>
      </c>
      <c r="T27">
        <f>IF($P$2=1,$M$2,$M$2+L27/PLOT!$K$10)</f>
        <v>24.031677464580934</v>
      </c>
      <c r="W27">
        <f>$R$105</f>
        <v>-47.68915278971313</v>
      </c>
    </row>
    <row r="28" spans="1:23" ht="12.75">
      <c r="A28">
        <f t="shared" si="0"/>
        <v>5.520000000000003</v>
      </c>
      <c r="B28">
        <v>0.04567623888373447</v>
      </c>
      <c r="C28">
        <v>912190911.8415215</v>
      </c>
      <c r="D28">
        <v>-0.0012555079798187404</v>
      </c>
      <c r="E28">
        <v>0.005322062484994664</v>
      </c>
      <c r="F28">
        <f t="shared" si="1"/>
        <v>2.5204494213026445</v>
      </c>
      <c r="G28">
        <f t="shared" si="2"/>
        <v>5246.50414985504</v>
      </c>
      <c r="H28">
        <v>24</v>
      </c>
      <c r="I28">
        <f t="shared" si="7"/>
        <v>0.8424050675702888</v>
      </c>
      <c r="J28">
        <f t="shared" si="3"/>
        <v>0.8974633740613547</v>
      </c>
      <c r="K28">
        <f t="shared" si="4"/>
        <v>3.6495837270195866</v>
      </c>
      <c r="L28">
        <f t="shared" si="5"/>
        <v>0.15699866931878473</v>
      </c>
      <c r="R28">
        <f t="shared" si="6"/>
        <v>-0.8424050675702888</v>
      </c>
      <c r="S28">
        <f>IF($P$2=1,0,K28/PLOT!$K$10)</f>
        <v>0.7299167454039173</v>
      </c>
      <c r="T28">
        <f>IF($P$2=1,$M$2,$M$2+L28/PLOT!$K$10)</f>
        <v>24.031399733863758</v>
      </c>
      <c r="W28">
        <f>$R$7</f>
        <v>-0.5710172499999999</v>
      </c>
    </row>
    <row r="29" spans="1:23" ht="12.75">
      <c r="A29">
        <f t="shared" si="0"/>
        <v>5.760000000000003</v>
      </c>
      <c r="B29">
        <v>0.04567623888373447</v>
      </c>
      <c r="C29">
        <v>912190911.8415215</v>
      </c>
      <c r="D29">
        <v>-0.0012555079798187404</v>
      </c>
      <c r="E29">
        <v>0.005322062484994664</v>
      </c>
      <c r="F29">
        <f t="shared" si="1"/>
        <v>2.4575494924602035</v>
      </c>
      <c r="G29">
        <f t="shared" si="2"/>
        <v>5221.615131322303</v>
      </c>
      <c r="H29">
        <v>25</v>
      </c>
      <c r="I29">
        <f t="shared" si="7"/>
        <v>0.8664536469623575</v>
      </c>
      <c r="J29">
        <f t="shared" si="3"/>
        <v>0.8890858489736188</v>
      </c>
      <c r="K29">
        <f t="shared" si="4"/>
        <v>3.61551606463183</v>
      </c>
      <c r="L29">
        <f t="shared" si="5"/>
        <v>0.15553313843588393</v>
      </c>
      <c r="R29">
        <f t="shared" si="6"/>
        <v>-0.8664536469623575</v>
      </c>
      <c r="S29">
        <f>IF($P$2=1,0,K29/PLOT!$K$10)</f>
        <v>0.723103212926366</v>
      </c>
      <c r="T29">
        <f>IF($P$2=1,$M$2,$M$2+L29/PLOT!$K$10)</f>
        <v>24.031106627687176</v>
      </c>
      <c r="W29">
        <f>$R$105</f>
        <v>-47.68915278971313</v>
      </c>
    </row>
    <row r="30" spans="1:23" ht="12.75">
      <c r="A30">
        <f t="shared" si="0"/>
        <v>6.0000000000000036</v>
      </c>
      <c r="B30">
        <v>0.04567623888373447</v>
      </c>
      <c r="C30">
        <v>912190911.8415215</v>
      </c>
      <c r="D30">
        <v>-0.0012555079798187404</v>
      </c>
      <c r="E30">
        <v>0.005322062484994664</v>
      </c>
      <c r="F30">
        <f t="shared" si="1"/>
        <v>2.394944895121474</v>
      </c>
      <c r="G30">
        <f t="shared" si="2"/>
        <v>5197.353610812804</v>
      </c>
      <c r="H30">
        <v>26</v>
      </c>
      <c r="I30">
        <f t="shared" si="7"/>
        <v>0.8920653840149108</v>
      </c>
      <c r="J30">
        <f t="shared" si="3"/>
        <v>0.880249758604232</v>
      </c>
      <c r="K30">
        <f t="shared" si="4"/>
        <v>3.5795836215320587</v>
      </c>
      <c r="L30">
        <f t="shared" si="5"/>
        <v>0.1539873879684343</v>
      </c>
      <c r="R30">
        <f t="shared" si="6"/>
        <v>-0.8920653840149108</v>
      </c>
      <c r="S30">
        <f>IF($P$2=1,0,K30/PLOT!$K$10)</f>
        <v>0.7159167243064117</v>
      </c>
      <c r="T30">
        <f>IF($P$2=1,$M$2,$M$2+L30/PLOT!$K$10)</f>
        <v>24.030797477593687</v>
      </c>
      <c r="W30">
        <f>$R$7</f>
        <v>-0.5710172499999999</v>
      </c>
    </row>
    <row r="31" spans="1:20" ht="12.75">
      <c r="A31">
        <f t="shared" si="0"/>
        <v>6.240000000000004</v>
      </c>
      <c r="B31">
        <v>0.04567623888373447</v>
      </c>
      <c r="C31">
        <v>912190911.8415215</v>
      </c>
      <c r="D31">
        <v>-0.0012555079798187404</v>
      </c>
      <c r="E31">
        <v>0.005322062484994664</v>
      </c>
      <c r="F31">
        <f t="shared" si="1"/>
        <v>2.332628105893769</v>
      </c>
      <c r="G31">
        <f t="shared" si="2"/>
        <v>5173.716672742806</v>
      </c>
      <c r="H31">
        <v>27</v>
      </c>
      <c r="I31">
        <f t="shared" si="7"/>
        <v>0.9193418839758799</v>
      </c>
      <c r="J31">
        <f t="shared" si="3"/>
        <v>0.8709358657459018</v>
      </c>
      <c r="K31">
        <f t="shared" si="4"/>
        <v>3.54170816856829</v>
      </c>
      <c r="L31">
        <f t="shared" si="5"/>
        <v>0.15235805263598695</v>
      </c>
      <c r="R31">
        <f t="shared" si="6"/>
        <v>-0.9193418839758799</v>
      </c>
      <c r="S31">
        <f>IF($P$2=1,0,K31/PLOT!$K$10)</f>
        <v>0.708341633713658</v>
      </c>
      <c r="T31">
        <f>IF($P$2=1,$M$2,$M$2+L31/PLOT!$K$10)</f>
        <v>24.030471610527197</v>
      </c>
    </row>
    <row r="32" spans="1:20" ht="12.75">
      <c r="A32">
        <f t="shared" si="0"/>
        <v>6.480000000000004</v>
      </c>
      <c r="B32">
        <v>0.04567623888373447</v>
      </c>
      <c r="C32">
        <v>912190911.8415215</v>
      </c>
      <c r="D32">
        <v>-0.0012555079798187404</v>
      </c>
      <c r="E32">
        <v>0.005322062484994664</v>
      </c>
      <c r="F32">
        <f t="shared" si="1"/>
        <v>2.2705916359712197</v>
      </c>
      <c r="G32">
        <f t="shared" si="2"/>
        <v>5150.70147658662</v>
      </c>
      <c r="H32">
        <v>28</v>
      </c>
      <c r="I32">
        <f t="shared" si="7"/>
        <v>0.948391356434312</v>
      </c>
      <c r="J32">
        <f t="shared" si="3"/>
        <v>0.8611249117414999</v>
      </c>
      <c r="K32">
        <f t="shared" si="4"/>
        <v>3.5018113893616154</v>
      </c>
      <c r="L32">
        <f t="shared" si="5"/>
        <v>0.15064176340574412</v>
      </c>
      <c r="R32">
        <f t="shared" si="6"/>
        <v>-0.948391356434312</v>
      </c>
      <c r="S32">
        <f>IF($P$2=1,0,K32/PLOT!$K$10)</f>
        <v>0.7003622778723231</v>
      </c>
      <c r="T32">
        <f>IF($P$2=1,$M$2,$M$2+L32/PLOT!$K$10)</f>
        <v>24.03012835268115</v>
      </c>
    </row>
    <row r="33" spans="1:20" ht="12.75">
      <c r="A33">
        <f t="shared" si="0"/>
        <v>6.720000000000004</v>
      </c>
      <c r="B33">
        <v>0.04567623888373447</v>
      </c>
      <c r="C33">
        <v>912190911.8415215</v>
      </c>
      <c r="D33">
        <v>-0.0012555079798187404</v>
      </c>
      <c r="E33">
        <v>0.005322062484994664</v>
      </c>
      <c r="F33">
        <f t="shared" si="1"/>
        <v>2.2088280302348116</v>
      </c>
      <c r="G33">
        <f t="shared" si="2"/>
        <v>5128.305256535251</v>
      </c>
      <c r="H33">
        <v>29</v>
      </c>
      <c r="I33">
        <f t="shared" si="7"/>
        <v>0.9793290446025423</v>
      </c>
      <c r="J33">
        <f t="shared" si="3"/>
        <v>0.8507977438808743</v>
      </c>
      <c r="K33">
        <f t="shared" si="4"/>
        <v>3.4598153983722804</v>
      </c>
      <c r="L33">
        <f t="shared" si="5"/>
        <v>0.14883516977885022</v>
      </c>
      <c r="R33">
        <f t="shared" si="6"/>
        <v>-0.9793290446025423</v>
      </c>
      <c r="S33">
        <f>IF($P$2=1,0,K33/PLOT!$K$10)</f>
        <v>0.691963079674456</v>
      </c>
      <c r="T33">
        <f>IF($P$2=1,$M$2,$M$2+L33/PLOT!$K$10)</f>
        <v>24.02976703395577</v>
      </c>
    </row>
    <row r="34" spans="1:20" ht="12.75">
      <c r="A34">
        <f t="shared" si="0"/>
        <v>6.960000000000004</v>
      </c>
      <c r="B34">
        <v>0.04567623888373447</v>
      </c>
      <c r="C34">
        <v>912190911.8415215</v>
      </c>
      <c r="D34">
        <v>-0.0012555079798187404</v>
      </c>
      <c r="E34">
        <v>0.005322062484994664</v>
      </c>
      <c r="F34">
        <f t="shared" si="1"/>
        <v>2.1473298663564853</v>
      </c>
      <c r="G34">
        <f t="shared" si="2"/>
        <v>5106.525321164024</v>
      </c>
      <c r="H34">
        <v>30</v>
      </c>
      <c r="I34">
        <f t="shared" si="7"/>
        <v>1.0122776825017075</v>
      </c>
      <c r="J34">
        <f t="shared" si="3"/>
        <v>0.839935461727485</v>
      </c>
      <c r="K34">
        <f t="shared" si="4"/>
        <v>3.4156433359449236</v>
      </c>
      <c r="L34">
        <f t="shared" si="5"/>
        <v>0.14693496538819092</v>
      </c>
      <c r="R34">
        <f t="shared" si="6"/>
        <v>-1.0122776825017075</v>
      </c>
      <c r="S34">
        <f>IF($P$2=1,0,K34/PLOT!$K$10)</f>
        <v>0.6831286671889847</v>
      </c>
      <c r="T34">
        <f>IF($P$2=1,$M$2,$M$2+L34/PLOT!$K$10)</f>
        <v>24.029386993077637</v>
      </c>
    </row>
    <row r="35" spans="1:20" ht="12.75">
      <c r="A35">
        <f t="shared" si="0"/>
        <v>7.200000000000005</v>
      </c>
      <c r="B35">
        <v>0.04567623888373447</v>
      </c>
      <c r="C35">
        <v>912190911.8415215</v>
      </c>
      <c r="D35">
        <v>-0.0012555079798187404</v>
      </c>
      <c r="E35">
        <v>0.005322062484994664</v>
      </c>
      <c r="F35">
        <f t="shared" si="1"/>
        <v>2.0860897539071686</v>
      </c>
      <c r="G35">
        <f t="shared" si="2"/>
        <v>5085.359053109147</v>
      </c>
      <c r="H35">
        <v>31</v>
      </c>
      <c r="I35">
        <f t="shared" si="7"/>
        <v>1.0473679818643185</v>
      </c>
      <c r="J35">
        <f t="shared" si="3"/>
        <v>0.8285195838867354</v>
      </c>
      <c r="K35">
        <f t="shared" si="4"/>
        <v>3.369220046481085</v>
      </c>
      <c r="L35">
        <f t="shared" si="5"/>
        <v>0.14493791717218096</v>
      </c>
      <c r="R35">
        <f t="shared" si="6"/>
        <v>-1.0473679818643185</v>
      </c>
      <c r="S35">
        <f>IF($P$2=1,0,K35/PLOT!$K$10)</f>
        <v>0.673844009296217</v>
      </c>
      <c r="T35">
        <f>IF($P$2=1,$M$2,$M$2+L35/PLOT!$K$10)</f>
        <v>24.028987583434436</v>
      </c>
    </row>
    <row r="36" spans="1:20" ht="12.75">
      <c r="A36">
        <f t="shared" si="0"/>
        <v>7.440000000000005</v>
      </c>
      <c r="B36">
        <v>0.04567623888373447</v>
      </c>
      <c r="C36">
        <v>912190911.8415215</v>
      </c>
      <c r="D36">
        <v>-0.0012555079798187404</v>
      </c>
      <c r="E36">
        <v>0.005322062484994664</v>
      </c>
      <c r="F36">
        <f t="shared" si="1"/>
        <v>2.0251003334686484</v>
      </c>
      <c r="G36">
        <f t="shared" si="2"/>
        <v>5064.803908753168</v>
      </c>
      <c r="H36">
        <v>32</v>
      </c>
      <c r="I36">
        <f t="shared" si="7"/>
        <v>1.084739150685499</v>
      </c>
      <c r="J36">
        <f t="shared" si="3"/>
        <v>0.8165322366846665</v>
      </c>
      <c r="K36">
        <f t="shared" si="4"/>
        <v>3.3204728457114037</v>
      </c>
      <c r="L36">
        <f t="shared" si="5"/>
        <v>0.14284089838146383</v>
      </c>
      <c r="R36">
        <f t="shared" si="6"/>
        <v>-1.084739150685499</v>
      </c>
      <c r="S36">
        <f>IF($P$2=1,0,K36/PLOT!$K$10)</f>
        <v>0.6640945691422807</v>
      </c>
      <c r="T36">
        <f>IF($P$2=1,$M$2,$M$2+L36/PLOT!$K$10)</f>
        <v>24.02856817967629</v>
      </c>
    </row>
    <row r="37" spans="1:20" ht="12.75">
      <c r="A37">
        <f t="shared" si="0"/>
        <v>7.680000000000005</v>
      </c>
      <c r="B37">
        <v>0.04567623888373447</v>
      </c>
      <c r="C37">
        <v>912190911.8415215</v>
      </c>
      <c r="D37">
        <v>-0.0012555079798187404</v>
      </c>
      <c r="E37">
        <v>0.005322062484994664</v>
      </c>
      <c r="F37">
        <f t="shared" si="1"/>
        <v>1.964354275749161</v>
      </c>
      <c r="G37">
        <f t="shared" si="2"/>
        <v>5044.857417919308</v>
      </c>
      <c r="H37">
        <v>33</v>
      </c>
      <c r="I37">
        <f t="shared" si="7"/>
        <v>1.1245394454800566</v>
      </c>
      <c r="J37">
        <f t="shared" si="3"/>
        <v>0.8039563661380205</v>
      </c>
      <c r="K37">
        <f t="shared" si="4"/>
        <v>3.269332382683431</v>
      </c>
      <c r="L37">
        <f t="shared" si="5"/>
        <v>0.14064092566011047</v>
      </c>
      <c r="R37">
        <f t="shared" si="6"/>
        <v>-1.1245394454800566</v>
      </c>
      <c r="S37">
        <f>IF($P$2=1,0,K37/PLOT!$K$10)</f>
        <v>0.6538664765366862</v>
      </c>
      <c r="T37">
        <f>IF($P$2=1,$M$2,$M$2+L37/PLOT!$K$10)</f>
        <v>24.028128185132022</v>
      </c>
    </row>
    <row r="38" spans="1:20" ht="12.75">
      <c r="A38">
        <f aca="true" t="shared" si="8" ref="A38:A55">A37+$C$2</f>
        <v>7.920000000000005</v>
      </c>
      <c r="B38">
        <v>0.04567623888373447</v>
      </c>
      <c r="C38">
        <v>912190911.8415215</v>
      </c>
      <c r="D38">
        <v>-0.0012555079798187404</v>
      </c>
      <c r="E38">
        <v>0.005322062484994664</v>
      </c>
      <c r="F38">
        <f t="shared" si="1"/>
        <v>1.9038442807026166</v>
      </c>
      <c r="G38">
        <f t="shared" si="2"/>
        <v>5025.51718357461</v>
      </c>
      <c r="H38">
        <v>34</v>
      </c>
      <c r="I38">
        <f t="shared" si="7"/>
        <v>1.1669267594362602</v>
      </c>
      <c r="J38">
        <f t="shared" si="3"/>
        <v>0.7907759744547359</v>
      </c>
      <c r="K38">
        <f t="shared" si="4"/>
        <v>3.215733601503787</v>
      </c>
      <c r="L38">
        <f t="shared" si="5"/>
        <v>0.13833520041807448</v>
      </c>
      <c r="R38">
        <f t="shared" si="6"/>
        <v>-1.1669267594362602</v>
      </c>
      <c r="S38">
        <f>IF($P$2=1,0,K38/PLOT!$K$10)</f>
        <v>0.6431467203007574</v>
      </c>
      <c r="T38">
        <f>IF($P$2=1,$M$2,$M$2+L38/PLOT!$K$10)</f>
        <v>24.027667040083614</v>
      </c>
    </row>
    <row r="39" spans="1:20" ht="12.75">
      <c r="A39">
        <f t="shared" si="8"/>
        <v>8.160000000000005</v>
      </c>
      <c r="B39">
        <v>0.04567623888373447</v>
      </c>
      <c r="C39">
        <v>912190911.8415215</v>
      </c>
      <c r="D39">
        <v>-0.0012555079798187404</v>
      </c>
      <c r="E39">
        <v>0.005322062484994664</v>
      </c>
      <c r="F39">
        <f t="shared" si="1"/>
        <v>1.8435630766513185</v>
      </c>
      <c r="G39">
        <f t="shared" si="2"/>
        <v>5006.780881541872</v>
      </c>
      <c r="H39">
        <v>35</v>
      </c>
      <c r="I39">
        <f t="shared" si="7"/>
        <v>1.2120692487996172</v>
      </c>
      <c r="J39">
        <f t="shared" si="3"/>
        <v>0.7769763820967568</v>
      </c>
      <c r="K39">
        <f t="shared" si="4"/>
        <v>3.159616807030856</v>
      </c>
      <c r="L39">
        <f t="shared" si="5"/>
        <v>0.13592115467541638</v>
      </c>
      <c r="R39">
        <f t="shared" si="6"/>
        <v>-1.2120692487996172</v>
      </c>
      <c r="S39">
        <f>IF($P$2=1,0,K39/PLOT!$K$10)</f>
        <v>0.6319233614061712</v>
      </c>
      <c r="T39">
        <f>IF($P$2=1,$M$2,$M$2+L39/PLOT!$K$10)</f>
        <v>24.027184230935084</v>
      </c>
    </row>
    <row r="40" spans="1:20" ht="12.75">
      <c r="A40">
        <f t="shared" si="8"/>
        <v>8.400000000000006</v>
      </c>
      <c r="B40">
        <v>0.04567623888373447</v>
      </c>
      <c r="C40">
        <v>912190911.8415215</v>
      </c>
      <c r="D40">
        <v>-0.0012555079798187404</v>
      </c>
      <c r="E40">
        <v>0.005322062484994664</v>
      </c>
      <c r="F40">
        <f t="shared" si="1"/>
        <v>1.7835034194121124</v>
      </c>
      <c r="G40">
        <f t="shared" si="2"/>
        <v>4988.64626022036</v>
      </c>
      <c r="H40">
        <v>36</v>
      </c>
      <c r="I40">
        <f t="shared" si="7"/>
        <v>1.2601459999715923</v>
      </c>
      <c r="J40">
        <f t="shared" si="3"/>
        <v>0.7625445161526067</v>
      </c>
      <c r="K40">
        <f t="shared" si="4"/>
        <v>3.100928837557577</v>
      </c>
      <c r="L40">
        <f t="shared" si="5"/>
        <v>0.13339650150905355</v>
      </c>
      <c r="R40">
        <f t="shared" si="6"/>
        <v>-1.2601459999715923</v>
      </c>
      <c r="S40">
        <f>IF($P$2=1,0,K40/PLOT!$K$10)</f>
        <v>0.6201857675115154</v>
      </c>
      <c r="T40">
        <f>IF($P$2=1,$M$2,$M$2+L40/PLOT!$K$10)</f>
        <v>24.02667930030181</v>
      </c>
    </row>
    <row r="41" spans="1:20" ht="12.75">
      <c r="A41">
        <f t="shared" si="8"/>
        <v>8.640000000000006</v>
      </c>
      <c r="B41">
        <v>0.04567623888373447</v>
      </c>
      <c r="C41">
        <v>912190911.8415215</v>
      </c>
      <c r="D41">
        <v>-0.0012555079798187404</v>
      </c>
      <c r="E41">
        <v>0.005322062484994664</v>
      </c>
      <c r="F41">
        <f t="shared" si="1"/>
        <v>1.7236580914258235</v>
      </c>
      <c r="G41">
        <f t="shared" si="2"/>
        <v>4971.111140315209</v>
      </c>
      <c r="H41">
        <v>37</v>
      </c>
      <c r="I41">
        <f t="shared" si="7"/>
        <v>1.3113477399697457</v>
      </c>
      <c r="J41">
        <f t="shared" si="3"/>
        <v>0.7474692253925309</v>
      </c>
      <c r="K41">
        <f t="shared" si="4"/>
        <v>3.039624346000354</v>
      </c>
      <c r="L41">
        <f t="shared" si="5"/>
        <v>0.1307592901672525</v>
      </c>
      <c r="R41">
        <f t="shared" si="6"/>
        <v>-1.3113477399697457</v>
      </c>
      <c r="S41">
        <f>IF($P$2=1,0,K41/PLOT!$K$10)</f>
        <v>0.6079248692000708</v>
      </c>
      <c r="T41">
        <f>IF($P$2=1,$M$2,$M$2+L41/PLOT!$K$10)</f>
        <v>24.02615185803345</v>
      </c>
    </row>
    <row r="42" spans="1:20" ht="12.75">
      <c r="A42">
        <f t="shared" si="8"/>
        <v>8.880000000000006</v>
      </c>
      <c r="B42">
        <v>0.04567623888373447</v>
      </c>
      <c r="C42">
        <v>912190911.8415215</v>
      </c>
      <c r="D42">
        <v>-0.0012555079798187404</v>
      </c>
      <c r="E42">
        <v>0.005322062484994664</v>
      </c>
      <c r="F42">
        <f t="shared" si="1"/>
        <v>1.6640199008899026</v>
      </c>
      <c r="G42">
        <f t="shared" si="2"/>
        <v>4954.173414575539</v>
      </c>
      <c r="H42">
        <v>38</v>
      </c>
      <c r="I42">
        <f t="shared" si="7"/>
        <v>1.3658775930677791</v>
      </c>
      <c r="J42">
        <f t="shared" si="3"/>
        <v>0.7317416219005601</v>
      </c>
      <c r="K42">
        <f t="shared" si="4"/>
        <v>2.9756671891644597</v>
      </c>
      <c r="L42">
        <f t="shared" si="5"/>
        <v>0.1280079658333816</v>
      </c>
      <c r="R42">
        <f t="shared" si="6"/>
        <v>-1.3658775930677791</v>
      </c>
      <c r="S42">
        <f>IF($P$2=1,0,K42/PLOT!$K$10)</f>
        <v>0.595133437832892</v>
      </c>
      <c r="T42">
        <f>IF($P$2=1,$M$2,$M$2+L42/PLOT!$K$10)</f>
        <v>24.025601593166677</v>
      </c>
    </row>
    <row r="43" spans="1:20" ht="12.75">
      <c r="A43">
        <f t="shared" si="8"/>
        <v>9.120000000000006</v>
      </c>
      <c r="B43">
        <v>0.04567623888373447</v>
      </c>
      <c r="C43">
        <v>912190911.8415215</v>
      </c>
      <c r="D43">
        <v>-0.0012555079798187404</v>
      </c>
      <c r="E43">
        <v>0.005322062484994664</v>
      </c>
      <c r="F43">
        <f t="shared" si="1"/>
        <v>1.604581680894165</v>
      </c>
      <c r="G43">
        <f t="shared" si="2"/>
        <v>4937.83104754122</v>
      </c>
      <c r="H43">
        <v>39</v>
      </c>
      <c r="I43">
        <f t="shared" si="7"/>
        <v>1.4239518866171847</v>
      </c>
      <c r="J43">
        <f t="shared" si="3"/>
        <v>0.7153554485816596</v>
      </c>
      <c r="K43">
        <f t="shared" si="4"/>
        <v>2.9090319222318914</v>
      </c>
      <c r="L43">
        <f t="shared" si="5"/>
        <v>0.12514143391614874</v>
      </c>
      <c r="R43">
        <f t="shared" si="6"/>
        <v>-1.4239518866171847</v>
      </c>
      <c r="S43">
        <f>IF($P$2=1,0,K43/PLOT!$K$10)</f>
        <v>0.5818063844463783</v>
      </c>
      <c r="T43">
        <f>IF($P$2=1,$M$2,$M$2+L43/PLOT!$K$10)</f>
        <v>24.02502828678323</v>
      </c>
    </row>
    <row r="44" spans="1:20" ht="12.75">
      <c r="A44">
        <f t="shared" si="8"/>
        <v>9.360000000000007</v>
      </c>
      <c r="B44">
        <v>0.04567623888373447</v>
      </c>
      <c r="C44">
        <v>912190911.8415215</v>
      </c>
      <c r="D44">
        <v>-0.0012555079798187404</v>
      </c>
      <c r="E44">
        <v>0.005322062484994664</v>
      </c>
      <c r="F44">
        <f t="shared" si="1"/>
        <v>1.5453362885595165</v>
      </c>
      <c r="G44">
        <f t="shared" si="2"/>
        <v>4922.08207529826</v>
      </c>
      <c r="H44">
        <v>40</v>
      </c>
      <c r="I44">
        <f t="shared" si="7"/>
        <v>1.4858010092473017</v>
      </c>
      <c r="J44">
        <f t="shared" si="3"/>
        <v>0.6983074711145949</v>
      </c>
      <c r="K44">
        <f t="shared" si="4"/>
        <v>2.8397053926590616</v>
      </c>
      <c r="L44">
        <f t="shared" si="5"/>
        <v>0.12215912861627495</v>
      </c>
      <c r="R44">
        <f t="shared" si="6"/>
        <v>-1.4858010092473017</v>
      </c>
      <c r="S44">
        <f>IF($P$2=1,0,K44/PLOT!$K$10)</f>
        <v>0.5679410785318123</v>
      </c>
      <c r="T44">
        <f>IF($P$2=1,$M$2,$M$2+L44/PLOT!$K$10)</f>
        <v>24.024431825723255</v>
      </c>
    </row>
    <row r="45" spans="1:20" ht="12.75">
      <c r="A45">
        <f t="shared" si="8"/>
        <v>9.600000000000007</v>
      </c>
      <c r="B45">
        <v>0.04567623888373447</v>
      </c>
      <c r="C45">
        <v>912190911.8415215</v>
      </c>
      <c r="D45">
        <v>-0.0012555079798187404</v>
      </c>
      <c r="E45">
        <v>0.005322062484994664</v>
      </c>
      <c r="F45">
        <f t="shared" si="1"/>
        <v>1.486276604179577</v>
      </c>
      <c r="G45">
        <f t="shared" si="2"/>
        <v>4906.924605242802</v>
      </c>
      <c r="H45">
        <v>41</v>
      </c>
      <c r="I45">
        <f t="shared" si="7"/>
        <v>1.5516703248483763</v>
      </c>
      <c r="J45">
        <f t="shared" si="3"/>
        <v>0.6805978920495731</v>
      </c>
      <c r="K45">
        <f t="shared" si="4"/>
        <v>2.7676884241274284</v>
      </c>
      <c r="L45">
        <f t="shared" si="5"/>
        <v>0.119061085367087</v>
      </c>
      <c r="R45">
        <f t="shared" si="6"/>
        <v>-1.5516703248483763</v>
      </c>
      <c r="S45">
        <f>IF($P$2=1,0,K45/PLOT!$K$10)</f>
        <v>0.5535376848254857</v>
      </c>
      <c r="T45">
        <f>IF($P$2=1,$M$2,$M$2+L45/PLOT!$K$10)</f>
        <v>24.023812217073417</v>
      </c>
    </row>
    <row r="46" spans="1:20" ht="12.75">
      <c r="A46">
        <f t="shared" si="8"/>
        <v>9.840000000000007</v>
      </c>
      <c r="B46">
        <v>0.04567623888373447</v>
      </c>
      <c r="C46">
        <v>912190911.8415215</v>
      </c>
      <c r="D46">
        <v>-0.0012555079798187404</v>
      </c>
      <c r="E46">
        <v>0.005322062484994664</v>
      </c>
      <c r="F46">
        <f t="shared" si="1"/>
        <v>1.4273955303650754</v>
      </c>
      <c r="G46">
        <f t="shared" si="2"/>
        <v>4892.356815853674</v>
      </c>
      <c r="H46">
        <v>42</v>
      </c>
      <c r="I46">
        <f t="shared" si="7"/>
        <v>1.6218211459635206</v>
      </c>
      <c r="J46">
        <f t="shared" si="3"/>
        <v>0.6622307837234334</v>
      </c>
      <c r="K46">
        <f t="shared" si="4"/>
        <v>2.6929975770167105</v>
      </c>
      <c r="L46">
        <f t="shared" si="5"/>
        <v>0.11584801656697707</v>
      </c>
      <c r="R46">
        <f t="shared" si="6"/>
        <v>-1.6218211459635206</v>
      </c>
      <c r="S46">
        <f>IF($P$2=1,0,K46/PLOT!$K$10)</f>
        <v>0.538599515403342</v>
      </c>
      <c r="T46">
        <f>IF($P$2=1,$M$2,$M$2+L46/PLOT!$K$10)</f>
        <v>24.023169603313395</v>
      </c>
    </row>
    <row r="47" spans="1:20" ht="12.75">
      <c r="A47">
        <f t="shared" si="8"/>
        <v>10.080000000000007</v>
      </c>
      <c r="B47">
        <v>0.04567623888373447</v>
      </c>
      <c r="C47">
        <v>912190911.8415215</v>
      </c>
      <c r="D47">
        <v>-0.0012555079798187404</v>
      </c>
      <c r="E47">
        <v>0.005322062484994664</v>
      </c>
      <c r="F47">
        <f t="shared" si="1"/>
        <v>1.3686859911909388</v>
      </c>
      <c r="G47">
        <f t="shared" si="2"/>
        <v>4878.376956473503</v>
      </c>
      <c r="H47">
        <v>43</v>
      </c>
      <c r="I47">
        <f t="shared" si="7"/>
        <v>1.6965317704511493</v>
      </c>
      <c r="J47">
        <f t="shared" si="3"/>
        <v>0.6432145354766278</v>
      </c>
      <c r="K47">
        <f t="shared" si="4"/>
        <v>2.6156669670371193</v>
      </c>
      <c r="L47">
        <f t="shared" si="5"/>
        <v>0.1125213898137609</v>
      </c>
      <c r="R47">
        <f t="shared" si="6"/>
        <v>-1.6965317704511493</v>
      </c>
      <c r="S47">
        <f>IF($P$2=1,0,K47/PLOT!$K$10)</f>
        <v>0.5231333934074238</v>
      </c>
      <c r="T47">
        <f>IF($P$2=1,$M$2,$M$2+L47/PLOT!$K$10)</f>
        <v>24.022504277962753</v>
      </c>
    </row>
    <row r="48" spans="1:20" ht="12.75">
      <c r="A48">
        <f t="shared" si="8"/>
        <v>10.320000000000007</v>
      </c>
      <c r="B48">
        <v>0.04567623888373447</v>
      </c>
      <c r="C48">
        <v>912190911.8415215</v>
      </c>
      <c r="D48">
        <v>-0.0012555079798187404</v>
      </c>
      <c r="E48">
        <v>0.005322062484994664</v>
      </c>
      <c r="F48">
        <f t="shared" si="1"/>
        <v>1.3101409313459582</v>
      </c>
      <c r="G48">
        <f t="shared" si="2"/>
        <v>4864.983347098321</v>
      </c>
      <c r="H48">
        <v>44</v>
      </c>
      <c r="I48">
        <f t="shared" si="7"/>
        <v>1.7760985855304738</v>
      </c>
      <c r="J48">
        <f t="shared" si="3"/>
        <v>0.6235623093026151</v>
      </c>
      <c r="K48">
        <f t="shared" si="4"/>
        <v>2.535750118152452</v>
      </c>
      <c r="L48">
        <f t="shared" si="5"/>
        <v>0.10908350761416839</v>
      </c>
      <c r="R48">
        <f t="shared" si="6"/>
        <v>-1.7760985855304738</v>
      </c>
      <c r="S48">
        <f>IF($P$2=1,0,K48/PLOT!$K$10)</f>
        <v>0.5071500236304904</v>
      </c>
      <c r="T48">
        <f>IF($P$2=1,$M$2,$M$2+L48/PLOT!$K$10)</f>
        <v>24.021816701522834</v>
      </c>
    </row>
    <row r="49" spans="1:20" ht="12.75">
      <c r="A49">
        <f t="shared" si="8"/>
        <v>10.560000000000008</v>
      </c>
      <c r="B49">
        <v>0.04567623888373447</v>
      </c>
      <c r="C49">
        <v>912190911.8415215</v>
      </c>
      <c r="D49">
        <v>-0.0012555079798187404</v>
      </c>
      <c r="E49">
        <v>0.005322062484994664</v>
      </c>
      <c r="F49">
        <f t="shared" si="1"/>
        <v>1.2517533152849227</v>
      </c>
      <c r="G49">
        <f t="shared" si="2"/>
        <v>4852.174378175685</v>
      </c>
      <c r="H49">
        <v>45</v>
      </c>
      <c r="I49">
        <f t="shared" si="7"/>
        <v>1.8608372435899545</v>
      </c>
      <c r="J49">
        <f t="shared" si="3"/>
        <v>0.6032924965452657</v>
      </c>
      <c r="K49">
        <f t="shared" si="4"/>
        <v>2.4533218197649806</v>
      </c>
      <c r="L49">
        <f t="shared" si="5"/>
        <v>0.10553758727666922</v>
      </c>
      <c r="R49">
        <f t="shared" si="6"/>
        <v>-1.8608372435899545</v>
      </c>
      <c r="S49">
        <f>IF($P$2=1,0,K49/PLOT!$K$10)</f>
        <v>0.4906643639529961</v>
      </c>
      <c r="T49">
        <f>IF($P$2=1,$M$2,$M$2+L49/PLOT!$K$10)</f>
        <v>24.021107517455334</v>
      </c>
    </row>
    <row r="50" spans="1:20" ht="12.75">
      <c r="A50">
        <f t="shared" si="8"/>
        <v>10.800000000000008</v>
      </c>
      <c r="B50">
        <v>0.04567623888373447</v>
      </c>
      <c r="C50">
        <v>912190911.8415215</v>
      </c>
      <c r="D50">
        <v>-0.0012555079798187404</v>
      </c>
      <c r="E50">
        <v>0.005322062484994664</v>
      </c>
      <c r="F50">
        <f t="shared" si="1"/>
        <v>1.1935161263831426</v>
      </c>
      <c r="G50">
        <f t="shared" si="2"/>
        <v>4839.948510411242</v>
      </c>
      <c r="H50">
        <v>46</v>
      </c>
      <c r="I50">
        <f t="shared" si="7"/>
        <v>1.9510839144233014</v>
      </c>
      <c r="J50">
        <f t="shared" si="3"/>
        <v>0.5824291665957297</v>
      </c>
      <c r="K50">
        <f t="shared" si="4"/>
        <v>2.3684799513657233</v>
      </c>
      <c r="L50">
        <f t="shared" si="5"/>
        <v>0.10188783940471655</v>
      </c>
      <c r="R50">
        <f t="shared" si="6"/>
        <v>-1.9510839144233014</v>
      </c>
      <c r="S50">
        <f>IF($P$2=1,0,K50/PLOT!$K$10)</f>
        <v>0.4736959902731447</v>
      </c>
      <c r="T50">
        <f>IF($P$2=1,$M$2,$M$2+L50/PLOT!$K$10)</f>
        <v>24.020377567880942</v>
      </c>
    </row>
    <row r="51" spans="1:20" ht="12.75">
      <c r="A51">
        <f t="shared" si="8"/>
        <v>11.040000000000008</v>
      </c>
      <c r="B51">
        <v>0.1663339637454361</v>
      </c>
      <c r="C51">
        <v>4265637204.6484</v>
      </c>
      <c r="D51">
        <v>8.050367203533411E-07</v>
      </c>
      <c r="E51">
        <v>0.007113460540809309</v>
      </c>
      <c r="F51">
        <f t="shared" si="1"/>
        <v>1.1389490701463154</v>
      </c>
      <c r="G51">
        <f t="shared" si="2"/>
        <v>4815.257518867749</v>
      </c>
      <c r="H51">
        <v>47</v>
      </c>
      <c r="I51">
        <f t="shared" si="7"/>
        <v>2.047196618860816</v>
      </c>
      <c r="J51">
        <f t="shared" si="3"/>
        <v>0.5610024967503005</v>
      </c>
      <c r="K51">
        <f t="shared" si="4"/>
        <v>2.2813472305748754</v>
      </c>
      <c r="L51">
        <f t="shared" si="5"/>
        <v>0.09813954309437001</v>
      </c>
      <c r="R51">
        <f t="shared" si="6"/>
        <v>-2.047196618860816</v>
      </c>
      <c r="S51">
        <f>IF($P$2=1,0,K51/PLOT!$K$10)</f>
        <v>0.4562694461149751</v>
      </c>
      <c r="T51">
        <f>IF($P$2=1,$M$2,$M$2+L51/PLOT!$K$10)</f>
        <v>24.019627908618872</v>
      </c>
    </row>
    <row r="52" spans="1:20" ht="12.75">
      <c r="A52">
        <f t="shared" si="8"/>
        <v>11.280000000000008</v>
      </c>
      <c r="B52">
        <v>0.1663339637454361</v>
      </c>
      <c r="C52">
        <v>4265637204.6484</v>
      </c>
      <c r="D52">
        <v>8.050367203533411E-07</v>
      </c>
      <c r="E52">
        <v>0.007113460540809309</v>
      </c>
      <c r="F52">
        <f t="shared" si="1"/>
        <v>1.0947809488659133</v>
      </c>
      <c r="G52">
        <f t="shared" si="2"/>
        <v>4625.097544715337</v>
      </c>
      <c r="H52">
        <v>48</v>
      </c>
      <c r="I52">
        <f t="shared" si="7"/>
        <v>2.149556649086769</v>
      </c>
      <c r="J52">
        <f t="shared" si="3"/>
        <v>0.5390491705121077</v>
      </c>
      <c r="K52">
        <f t="shared" si="4"/>
        <v>2.192072832857356</v>
      </c>
      <c r="L52">
        <f t="shared" si="5"/>
        <v>0.09429911561160813</v>
      </c>
      <c r="R52">
        <f t="shared" si="6"/>
        <v>-2.149556649086769</v>
      </c>
      <c r="S52">
        <f>IF($P$2=1,0,K52/PLOT!$K$10)</f>
        <v>0.4384145665714712</v>
      </c>
      <c r="T52">
        <f>IF($P$2=1,$M$2,$M$2+L52/PLOT!$K$10)</f>
        <v>24.018859823122323</v>
      </c>
    </row>
    <row r="53" spans="1:20" ht="12.75">
      <c r="A53">
        <f t="shared" si="8"/>
        <v>11.520000000000008</v>
      </c>
      <c r="B53">
        <v>0.1663339637454361</v>
      </c>
      <c r="C53">
        <v>4265637204.6484</v>
      </c>
      <c r="D53">
        <v>8.050367203533411E-07</v>
      </c>
      <c r="E53">
        <v>0.007113460540809309</v>
      </c>
      <c r="F53">
        <f t="shared" si="1"/>
        <v>1.0523577224431386</v>
      </c>
      <c r="G53">
        <f t="shared" si="2"/>
        <v>4442.309190365186</v>
      </c>
      <c r="H53">
        <v>49</v>
      </c>
      <c r="I53">
        <f t="shared" si="7"/>
        <v>2.2585700812774085</v>
      </c>
      <c r="J53">
        <f t="shared" si="3"/>
        <v>0.5166127297054427</v>
      </c>
      <c r="K53">
        <f t="shared" si="4"/>
        <v>2.1008338234148995</v>
      </c>
      <c r="L53">
        <f t="shared" si="5"/>
        <v>0.09037417398980634</v>
      </c>
      <c r="R53">
        <f t="shared" si="6"/>
        <v>-2.2585700812774085</v>
      </c>
      <c r="S53">
        <f>IF($P$2=1,0,K53/PLOT!$K$10)</f>
        <v>0.4201667646829799</v>
      </c>
      <c r="T53">
        <f>IF($P$2=1,$M$2,$M$2+L53/PLOT!$K$10)</f>
        <v>24.01807483479796</v>
      </c>
    </row>
    <row r="54" spans="1:20" ht="12.75">
      <c r="A54">
        <f t="shared" si="8"/>
        <v>11.760000000000009</v>
      </c>
      <c r="B54">
        <v>0.1663339637454361</v>
      </c>
      <c r="C54">
        <v>4265637204.6484</v>
      </c>
      <c r="D54">
        <v>8.050367203533411E-07</v>
      </c>
      <c r="E54">
        <v>0.007113460540809309</v>
      </c>
      <c r="F54">
        <f t="shared" si="1"/>
        <v>1.011611775461678</v>
      </c>
      <c r="G54">
        <f t="shared" si="2"/>
        <v>4266.601122231459</v>
      </c>
      <c r="H54">
        <v>50</v>
      </c>
      <c r="I54">
        <f t="shared" si="7"/>
        <v>2.37466938656044</v>
      </c>
      <c r="J54">
        <f t="shared" si="3"/>
        <v>0.49374386389474356</v>
      </c>
      <c r="K54">
        <f t="shared" si="4"/>
        <v>2.0078363341241374</v>
      </c>
      <c r="L54">
        <f t="shared" si="5"/>
        <v>0.08637358565954188</v>
      </c>
      <c r="R54">
        <f t="shared" si="6"/>
        <v>-2.37466938656044</v>
      </c>
      <c r="S54">
        <f>IF($P$2=1,0,K54/PLOT!$K$10)</f>
        <v>0.40156726682482746</v>
      </c>
      <c r="T54">
        <f>IF($P$2=1,$M$2,$M$2+L54/PLOT!$K$10)</f>
        <v>24.017274717131908</v>
      </c>
    </row>
    <row r="55" spans="1:20" ht="12.75">
      <c r="A55">
        <f t="shared" si="8"/>
        <v>12.000000000000009</v>
      </c>
      <c r="B55">
        <v>0.1663339637454361</v>
      </c>
      <c r="C55">
        <v>4265637204.6484</v>
      </c>
      <c r="D55">
        <v>8.050367203533411E-07</v>
      </c>
      <c r="E55">
        <v>0.007113460540809309</v>
      </c>
      <c r="F55">
        <f t="shared" si="1"/>
        <v>0.9724781658037229</v>
      </c>
      <c r="G55">
        <f t="shared" si="2"/>
        <v>4097.693291501792</v>
      </c>
      <c r="H55">
        <v>51</v>
      </c>
      <c r="I55">
        <f t="shared" si="7"/>
        <v>2.4983151466868683</v>
      </c>
      <c r="J55">
        <f t="shared" si="3"/>
        <v>0.47050061885495215</v>
      </c>
      <c r="K55">
        <f t="shared" si="4"/>
        <v>1.9133164112926657</v>
      </c>
      <c r="L55">
        <f t="shared" si="5"/>
        <v>0.0823075049175681</v>
      </c>
      <c r="R55">
        <f t="shared" si="6"/>
        <v>-2.4983151466868683</v>
      </c>
      <c r="S55">
        <f>IF($P$2=1,0,K55/PLOT!$K$10)</f>
        <v>0.38266328225853313</v>
      </c>
      <c r="T55">
        <f>IF($P$2=1,$M$2,$M$2+L55/PLOT!$K$10)</f>
        <v>24.016461500983514</v>
      </c>
    </row>
    <row r="56" spans="1:20" ht="12.75">
      <c r="A56">
        <f aca="true" t="shared" si="9" ref="A56:A98">A55+$C$2</f>
        <v>12.240000000000009</v>
      </c>
      <c r="B56">
        <v>0.1663339637454361</v>
      </c>
      <c r="C56">
        <v>4265637204.6484</v>
      </c>
      <c r="D56">
        <v>8.050367203533411E-07</v>
      </c>
      <c r="E56">
        <v>0.007113460540809309</v>
      </c>
      <c r="F56">
        <f aca="true" t="shared" si="10" ref="F56:F99">(D56*EXP(B56*A56)+E56*EXP(-B56*A56))*1000</f>
        <v>0.9348945211432619</v>
      </c>
      <c r="G56">
        <f t="shared" si="2"/>
        <v>3935.3164877870577</v>
      </c>
      <c r="H56">
        <v>52</v>
      </c>
      <c r="I56">
        <f t="shared" si="7"/>
        <v>2.6299978812215143</v>
      </c>
      <c r="J56">
        <f t="shared" si="3"/>
        <v>0.44694850434375816</v>
      </c>
      <c r="K56">
        <f t="shared" si="4"/>
        <v>1.8175404539207505</v>
      </c>
      <c r="L56">
        <f t="shared" si="5"/>
        <v>0.0781873917800616</v>
      </c>
      <c r="R56">
        <f t="shared" si="6"/>
        <v>-2.6299978812215143</v>
      </c>
      <c r="S56">
        <f>IF($P$2=1,0,K56/PLOT!$K$10)</f>
        <v>0.3635080907841501</v>
      </c>
      <c r="T56">
        <f>IF($P$2=1,$M$2,$M$2+L56/PLOT!$K$10)</f>
        <v>24.015637478356012</v>
      </c>
    </row>
    <row r="57" spans="1:20" ht="12.75">
      <c r="A57">
        <f t="shared" si="9"/>
        <v>12.48000000000001</v>
      </c>
      <c r="B57">
        <v>0.1663339637454361</v>
      </c>
      <c r="C57">
        <v>4265637204.6484</v>
      </c>
      <c r="D57">
        <v>8.050367203533411E-07</v>
      </c>
      <c r="E57">
        <v>0.007113460540809309</v>
      </c>
      <c r="F57">
        <f t="shared" si="10"/>
        <v>0.8988009395351926</v>
      </c>
      <c r="G57">
        <f t="shared" si="2"/>
        <v>3779.211910045738</v>
      </c>
      <c r="H57">
        <v>53</v>
      </c>
      <c r="I57">
        <f t="shared" si="7"/>
        <v>2.7702399935009128</v>
      </c>
      <c r="J57">
        <f t="shared" si="3"/>
        <v>0.4231604803211487</v>
      </c>
      <c r="K57">
        <f t="shared" si="4"/>
        <v>1.720805157662375</v>
      </c>
      <c r="L57">
        <f t="shared" si="5"/>
        <v>0.07402600957192522</v>
      </c>
      <c r="R57">
        <f t="shared" si="6"/>
        <v>-2.7702399935009128</v>
      </c>
      <c r="S57">
        <f>IF($P$2=1,0,K57/PLOT!$K$10)</f>
        <v>0.344161031532475</v>
      </c>
      <c r="T57">
        <f>IF($P$2=1,$M$2,$M$2+L57/PLOT!$K$10)</f>
        <v>24.014805201914385</v>
      </c>
    </row>
    <row r="58" spans="1:20" ht="12.75">
      <c r="A58">
        <f t="shared" si="9"/>
        <v>12.72000000000001</v>
      </c>
      <c r="B58">
        <v>0.1663339637454361</v>
      </c>
      <c r="C58">
        <v>4265637204.6484</v>
      </c>
      <c r="D58">
        <v>8.050367203533411E-07</v>
      </c>
      <c r="E58">
        <v>0.007113460540809309</v>
      </c>
      <c r="F58">
        <f t="shared" si="10"/>
        <v>0.8641398939417937</v>
      </c>
      <c r="G58">
        <f t="shared" si="2"/>
        <v>3629.1307540990297</v>
      </c>
      <c r="H58">
        <v>54</v>
      </c>
      <c r="I58">
        <f t="shared" si="7"/>
        <v>2.919597843078472</v>
      </c>
      <c r="J58">
        <f t="shared" si="3"/>
        <v>0.3992168002133071</v>
      </c>
      <c r="K58">
        <f t="shared" si="4"/>
        <v>1.6234368774493404</v>
      </c>
      <c r="L58">
        <f t="shared" si="5"/>
        <v>0.06983739750799847</v>
      </c>
      <c r="R58">
        <f t="shared" si="6"/>
        <v>-2.919597843078472</v>
      </c>
      <c r="S58">
        <f>IF($P$2=1,0,K58/PLOT!$K$10)</f>
        <v>0.3246873754898681</v>
      </c>
      <c r="T58">
        <f>IF($P$2=1,$M$2,$M$2+L58/PLOT!$K$10)</f>
        <v>24.0139674795016</v>
      </c>
    </row>
    <row r="59" spans="1:20" ht="12.75">
      <c r="A59">
        <f t="shared" si="9"/>
        <v>12.96000000000001</v>
      </c>
      <c r="B59">
        <v>0.1663339637454361</v>
      </c>
      <c r="C59">
        <v>4265637204.6484</v>
      </c>
      <c r="D59">
        <v>8.050367203533411E-07</v>
      </c>
      <c r="E59">
        <v>0.007113460540809309</v>
      </c>
      <c r="F59">
        <f t="shared" si="10"/>
        <v>0.830856140544402</v>
      </c>
      <c r="G59">
        <f t="shared" si="2"/>
        <v>3484.833816079246</v>
      </c>
      <c r="H59">
        <v>55</v>
      </c>
      <c r="I59">
        <f t="shared" si="7"/>
        <v>3.078663952878572</v>
      </c>
      <c r="J59">
        <f t="shared" si="3"/>
        <v>0.37520469001273404</v>
      </c>
      <c r="K59">
        <f t="shared" si="4"/>
        <v>1.5257903225344194</v>
      </c>
      <c r="L59">
        <f t="shared" si="5"/>
        <v>0.06563681455611049</v>
      </c>
      <c r="R59">
        <f t="shared" si="6"/>
        <v>-3.078663952878572</v>
      </c>
      <c r="S59">
        <f>IF($P$2=1,0,K59/PLOT!$K$10)</f>
        <v>0.3051580645068839</v>
      </c>
      <c r="T59">
        <f>IF($P$2=1,$M$2,$M$2+L59/PLOT!$K$10)</f>
        <v>24.013127362911224</v>
      </c>
    </row>
    <row r="60" spans="1:20" ht="12.75">
      <c r="A60">
        <f t="shared" si="9"/>
        <v>13.20000000000001</v>
      </c>
      <c r="B60">
        <v>0.1663339637454361</v>
      </c>
      <c r="C60">
        <v>4265637204.6484</v>
      </c>
      <c r="D60">
        <v>8.050367203533411E-07</v>
      </c>
      <c r="E60">
        <v>0.007113460540809309</v>
      </c>
      <c r="F60">
        <f t="shared" si="10"/>
        <v>0.7988966306941468</v>
      </c>
      <c r="G60">
        <f t="shared" si="2"/>
        <v>3346.091111179486</v>
      </c>
      <c r="H60">
        <v>56</v>
      </c>
      <c r="I60">
        <f t="shared" si="7"/>
        <v>3.248069359815679</v>
      </c>
      <c r="J60">
        <f t="shared" si="3"/>
        <v>0.3512178431462646</v>
      </c>
      <c r="K60">
        <f t="shared" si="4"/>
        <v>1.428246502344613</v>
      </c>
      <c r="L60">
        <f t="shared" si="5"/>
        <v>0.06144065107130213</v>
      </c>
      <c r="R60">
        <f t="shared" si="6"/>
        <v>-3.248069359815679</v>
      </c>
      <c r="S60">
        <f>IF($P$2=1,0,K60/PLOT!$K$10)</f>
        <v>0.28564930046892256</v>
      </c>
      <c r="T60">
        <f>IF($P$2=1,$M$2,$M$2+L60/PLOT!$K$10)</f>
        <v>24.01228813021426</v>
      </c>
    </row>
    <row r="61" spans="1:20" ht="12.75">
      <c r="A61">
        <f t="shared" si="9"/>
        <v>13.44000000000001</v>
      </c>
      <c r="B61">
        <v>0.1663339637454361</v>
      </c>
      <c r="C61">
        <v>4265637204.6484</v>
      </c>
      <c r="D61">
        <v>8.050367203533411E-07</v>
      </c>
      <c r="E61">
        <v>0.007113460540809309</v>
      </c>
      <c r="F61">
        <f t="shared" si="10"/>
        <v>0.7682104263614189</v>
      </c>
      <c r="G61">
        <f t="shared" si="2"/>
        <v>3212.681507096927</v>
      </c>
      <c r="H61">
        <v>57</v>
      </c>
      <c r="I61">
        <f t="shared" si="7"/>
        <v>3.428486118203698</v>
      </c>
      <c r="J61">
        <f t="shared" si="3"/>
        <v>0.3273557133354011</v>
      </c>
      <c r="K61">
        <f t="shared" si="4"/>
        <v>1.3312098508591534</v>
      </c>
      <c r="L61">
        <f t="shared" si="5"/>
        <v>0.05726630509162814</v>
      </c>
      <c r="R61">
        <f t="shared" si="6"/>
        <v>-3.428486118203698</v>
      </c>
      <c r="S61">
        <f>IF($P$2=1,0,K61/PLOT!$K$10)</f>
        <v>0.2662419701718307</v>
      </c>
      <c r="T61">
        <f>IF($P$2=1,$M$2,$M$2+L61/PLOT!$K$10)</f>
        <v>24.011453261018325</v>
      </c>
    </row>
    <row r="62" spans="1:20" ht="12.75">
      <c r="A62">
        <f t="shared" si="9"/>
        <v>13.68000000000001</v>
      </c>
      <c r="B62">
        <v>0.1663339637454361</v>
      </c>
      <c r="C62">
        <v>4265637204.6484</v>
      </c>
      <c r="D62">
        <v>8.050367203533411E-07</v>
      </c>
      <c r="E62">
        <v>0.007113460540809309</v>
      </c>
      <c r="F62">
        <f t="shared" si="10"/>
        <v>0.7387486189493008</v>
      </c>
      <c r="G62">
        <f t="shared" si="2"/>
        <v>3084.3923715854853</v>
      </c>
      <c r="H62">
        <v>58</v>
      </c>
      <c r="I62">
        <f t="shared" si="7"/>
        <v>3.620629965886938</v>
      </c>
      <c r="J62">
        <f t="shared" si="3"/>
        <v>0.30372259132010604</v>
      </c>
      <c r="K62">
        <f t="shared" si="4"/>
        <v>1.235104472056483</v>
      </c>
      <c r="L62">
        <f t="shared" si="5"/>
        <v>0.053132020823893615</v>
      </c>
      <c r="R62">
        <f t="shared" si="6"/>
        <v>-3.620629965886938</v>
      </c>
      <c r="S62">
        <f>IF($P$2=1,0,K62/PLOT!$K$10)</f>
        <v>0.2470208944112966</v>
      </c>
      <c r="T62">
        <f>IF($P$2=1,$M$2,$M$2+L62/PLOT!$K$10)</f>
        <v>24.01062640416478</v>
      </c>
    </row>
    <row r="63" spans="1:20" ht="12.75">
      <c r="A63">
        <f t="shared" si="9"/>
        <v>13.92000000000001</v>
      </c>
      <c r="B63">
        <v>0.1663339637454361</v>
      </c>
      <c r="C63">
        <v>4265637204.6484</v>
      </c>
      <c r="D63">
        <v>8.050367203533411E-07</v>
      </c>
      <c r="E63">
        <v>0.007113460540809309</v>
      </c>
      <c r="F63">
        <f t="shared" si="10"/>
        <v>0.7104642513415742</v>
      </c>
      <c r="G63">
        <f t="shared" si="2"/>
        <v>2961.019233556154</v>
      </c>
      <c r="H63">
        <v>59</v>
      </c>
      <c r="I63">
        <f t="shared" si="7"/>
        <v>3.8252631636695886</v>
      </c>
      <c r="J63">
        <f t="shared" si="3"/>
        <v>0.2804264564941932</v>
      </c>
      <c r="K63">
        <f t="shared" si="4"/>
        <v>1.1403694700269813</v>
      </c>
      <c r="L63">
        <f t="shared" si="5"/>
        <v>0.04905668775332168</v>
      </c>
      <c r="R63">
        <f t="shared" si="6"/>
        <v>-3.8252631636695886</v>
      </c>
      <c r="S63">
        <f>IF($P$2=1,0,K63/PLOT!$K$10)</f>
        <v>0.22807389400539627</v>
      </c>
      <c r="T63">
        <f>IF($P$2=1,$M$2,$M$2+L63/PLOT!$K$10)</f>
        <v>24.009811337550666</v>
      </c>
    </row>
    <row r="64" spans="1:20" ht="12.75">
      <c r="A64">
        <f t="shared" si="9"/>
        <v>14.16000000000001</v>
      </c>
      <c r="B64">
        <v>0.1663339637454361</v>
      </c>
      <c r="C64">
        <v>4265637204.6484</v>
      </c>
      <c r="D64">
        <v>8.050367203533411E-07</v>
      </c>
      <c r="E64">
        <v>0.007113460540809309</v>
      </c>
      <c r="F64">
        <f t="shared" si="10"/>
        <v>0.6833122430610519</v>
      </c>
      <c r="G64">
        <f t="shared" si="2"/>
        <v>2842.365457184805</v>
      </c>
      <c r="H64">
        <v>60</v>
      </c>
      <c r="I64">
        <f t="shared" si="7"/>
        <v>4.043197519308111</v>
      </c>
      <c r="J64">
        <f t="shared" si="3"/>
        <v>0.2575776013367068</v>
      </c>
      <c r="K64">
        <f t="shared" si="4"/>
        <v>1.047453355148193</v>
      </c>
      <c r="L64">
        <f t="shared" si="5"/>
        <v>0.04505960000705586</v>
      </c>
      <c r="R64">
        <f t="shared" si="6"/>
        <v>-4.043197519308111</v>
      </c>
      <c r="S64">
        <f>IF($P$2=1,0,K64/PLOT!$K$10)</f>
        <v>0.20949067102963861</v>
      </c>
      <c r="T64">
        <f>IF($P$2=1,$M$2,$M$2+L64/PLOT!$K$10)</f>
        <v>24.009011920001413</v>
      </c>
    </row>
    <row r="65" spans="1:20" ht="12.75">
      <c r="A65">
        <f t="shared" si="9"/>
        <v>14.400000000000011</v>
      </c>
      <c r="B65">
        <v>0.1663339637454361</v>
      </c>
      <c r="C65">
        <v>4265637204.6484</v>
      </c>
      <c r="D65">
        <v>8.050367203533411E-07</v>
      </c>
      <c r="E65">
        <v>0.007113460540809309</v>
      </c>
      <c r="F65">
        <f t="shared" si="10"/>
        <v>0.6572493184189567</v>
      </c>
      <c r="G65">
        <f t="shared" si="2"/>
        <v>2728.241928508101</v>
      </c>
      <c r="H65">
        <v>61</v>
      </c>
      <c r="I65">
        <f t="shared" si="7"/>
        <v>4.275297608063139</v>
      </c>
      <c r="J65">
        <f t="shared" si="3"/>
        <v>0.2352870350738331</v>
      </c>
      <c r="K65">
        <f t="shared" si="4"/>
        <v>0.9568075524889815</v>
      </c>
      <c r="L65">
        <f t="shared" si="5"/>
        <v>0.04116017709713094</v>
      </c>
      <c r="R65">
        <f t="shared" si="6"/>
        <v>-4.275297608063139</v>
      </c>
      <c r="S65">
        <f>IF($P$2=1,0,K65/PLOT!$K$10)</f>
        <v>0.19136151049779632</v>
      </c>
      <c r="T65">
        <f>IF($P$2=1,$M$2,$M$2+L65/PLOT!$K$10)</f>
        <v>24.008232035419425</v>
      </c>
    </row>
    <row r="66" spans="1:20" ht="12.75">
      <c r="A66">
        <f t="shared" si="9"/>
        <v>14.640000000000011</v>
      </c>
      <c r="B66">
        <v>0.1663339637454361</v>
      </c>
      <c r="C66">
        <v>4265637204.6484</v>
      </c>
      <c r="D66">
        <v>8.050367203533411E-07</v>
      </c>
      <c r="E66">
        <v>0.007113460540809309</v>
      </c>
      <c r="F66">
        <f t="shared" si="10"/>
        <v>0.6322339375408228</v>
      </c>
      <c r="G66">
        <f t="shared" si="2"/>
        <v>2618.466754007954</v>
      </c>
      <c r="H66">
        <v>62</v>
      </c>
      <c r="I66">
        <f t="shared" si="7"/>
        <v>4.5224842025872425</v>
      </c>
      <c r="J66">
        <f t="shared" si="3"/>
        <v>0.21366468321965343</v>
      </c>
      <c r="K66">
        <f t="shared" si="4"/>
        <v>0.8688790801438682</v>
      </c>
      <c r="L66">
        <f t="shared" si="5"/>
        <v>0.03737764895530095</v>
      </c>
      <c r="R66">
        <f t="shared" si="6"/>
        <v>-4.5224842025872425</v>
      </c>
      <c r="S66">
        <f>IF($P$2=1,0,K66/PLOT!$K$10)</f>
        <v>0.17377581602877362</v>
      </c>
      <c r="T66">
        <f>IF($P$2=1,$M$2,$M$2+L66/PLOT!$K$10)</f>
        <v>24.00747552979106</v>
      </c>
    </row>
    <row r="67" spans="1:20" ht="12.75">
      <c r="A67">
        <f t="shared" si="9"/>
        <v>14.880000000000011</v>
      </c>
      <c r="B67">
        <v>0.1663339637454361</v>
      </c>
      <c r="C67">
        <v>4265637204.6484</v>
      </c>
      <c r="D67">
        <v>8.050367203533411E-07</v>
      </c>
      <c r="E67">
        <v>0.007113460540809309</v>
      </c>
      <c r="F67">
        <f t="shared" si="10"/>
        <v>0.6082262301589948</v>
      </c>
      <c r="G67">
        <f t="shared" si="2"/>
        <v>2512.8649707041673</v>
      </c>
      <c r="H67">
        <v>63</v>
      </c>
      <c r="I67">
        <f t="shared" si="7"/>
        <v>4.785737925755413</v>
      </c>
      <c r="J67">
        <f t="shared" si="3"/>
        <v>0.19281741133400487</v>
      </c>
      <c r="K67">
        <f t="shared" si="4"/>
        <v>0.7841025127366567</v>
      </c>
      <c r="L67">
        <f t="shared" si="5"/>
        <v>0.03373071021710797</v>
      </c>
      <c r="R67">
        <f t="shared" si="6"/>
        <v>-4.785737925755413</v>
      </c>
      <c r="S67">
        <f>IF($P$2=1,0,K67/PLOT!$K$10)</f>
        <v>0.15682050254733132</v>
      </c>
      <c r="T67">
        <f>IF($P$2=1,$M$2,$M$2+L67/PLOT!$K$10)</f>
        <v>24.006746142043422</v>
      </c>
    </row>
    <row r="68" spans="1:20" ht="12.75">
      <c r="A68">
        <f t="shared" si="9"/>
        <v>15.120000000000012</v>
      </c>
      <c r="B68">
        <v>0.1663339637454361</v>
      </c>
      <c r="C68">
        <v>4265637204.6484</v>
      </c>
      <c r="D68">
        <v>8.050367203533411E-07</v>
      </c>
      <c r="E68">
        <v>0.007113460540809309</v>
      </c>
      <c r="F68">
        <f t="shared" si="10"/>
        <v>0.585187932066192</v>
      </c>
      <c r="G68">
        <f t="shared" si="2"/>
        <v>2411.2682672931514</v>
      </c>
      <c r="H68">
        <v>64</v>
      </c>
      <c r="I68">
        <f t="shared" si="7"/>
        <v>5.066103140929514</v>
      </c>
      <c r="J68">
        <f t="shared" si="3"/>
        <v>0.1728469141464029</v>
      </c>
      <c r="K68">
        <f t="shared" si="4"/>
        <v>0.7028913974278108</v>
      </c>
      <c r="L68">
        <f t="shared" si="5"/>
        <v>0.030237150953625763</v>
      </c>
      <c r="R68">
        <f t="shared" si="6"/>
        <v>-5.066103140929514</v>
      </c>
      <c r="S68">
        <f>IF($P$2=1,0,K68/PLOT!$K$10)</f>
        <v>0.14057827948556217</v>
      </c>
      <c r="T68">
        <f>IF($P$2=1,$M$2,$M$2+L68/PLOT!$K$10)</f>
        <v>24.006047430190726</v>
      </c>
    </row>
    <row r="69" spans="1:20" ht="12.75">
      <c r="A69">
        <f t="shared" si="9"/>
        <v>15.360000000000012</v>
      </c>
      <c r="B69">
        <v>0.1663339637454361</v>
      </c>
      <c r="C69">
        <v>4265637204.6484</v>
      </c>
      <c r="D69">
        <v>8.050367203533411E-07</v>
      </c>
      <c r="E69">
        <v>0.007113460540809309</v>
      </c>
      <c r="F69">
        <f t="shared" si="10"/>
        <v>0.5630823241288639</v>
      </c>
      <c r="G69">
        <f t="shared" si="2"/>
        <v>2313.514715888316</v>
      </c>
      <c r="H69">
        <v>65</v>
      </c>
      <c r="I69">
        <f t="shared" si="7"/>
        <v>5.364692095089932</v>
      </c>
      <c r="J69">
        <f t="shared" si="3"/>
        <v>0.1538475245774794</v>
      </c>
      <c r="K69">
        <f t="shared" si="4"/>
        <v>0.6256293441807125</v>
      </c>
      <c r="L69">
        <f t="shared" si="5"/>
        <v>0.026913473390393787</v>
      </c>
      <c r="R69">
        <f t="shared" si="6"/>
        <v>-5.364692095089932</v>
      </c>
      <c r="S69">
        <f>IF($P$2=1,0,K69/PLOT!$K$10)</f>
        <v>0.1251258688361425</v>
      </c>
      <c r="T69">
        <f>IF($P$2=1,$M$2,$M$2+L69/PLOT!$K$10)</f>
        <v>24.00538269467808</v>
      </c>
    </row>
    <row r="70" spans="1:20" ht="12.75">
      <c r="A70">
        <f t="shared" si="9"/>
        <v>15.600000000000012</v>
      </c>
      <c r="B70">
        <v>0.1663339637454361</v>
      </c>
      <c r="C70">
        <v>4265637204.6484</v>
      </c>
      <c r="D70">
        <v>8.050367203533411E-07</v>
      </c>
      <c r="E70">
        <v>0.007113460540809309</v>
      </c>
      <c r="F70">
        <f t="shared" si="10"/>
        <v>0.5418741737631265</v>
      </c>
      <c r="G70">
        <f aca="true" t="shared" si="11" ref="G70:G105">(-C70*D70*EXP(B70*A70)+C70*E70*EXP(-B70*A70))/1000</f>
        <v>2219.4485139345093</v>
      </c>
      <c r="H70">
        <v>66</v>
      </c>
      <c r="I70">
        <f t="shared" si="7"/>
        <v>5.682689331270778</v>
      </c>
      <c r="J70">
        <f aca="true" t="shared" si="12" ref="J70:J105">IF(I70&lt;=$I$2,1,EXP(-$J$2/$I$2*(I70-$G$2/2)))</f>
        <v>0.1359040103867557</v>
      </c>
      <c r="K70">
        <f aca="true" t="shared" si="13" ref="K70:K105">$F$5*J70</f>
        <v>0.5526610657097368</v>
      </c>
      <c r="L70">
        <f aca="true" t="shared" si="14" ref="L70:L105">$F$105*J70</f>
        <v>0.023774506461751457</v>
      </c>
      <c r="R70">
        <f aca="true" t="shared" si="15" ref="R70:R105">-I70</f>
        <v>-5.682689331270778</v>
      </c>
      <c r="S70">
        <f>IF($P$2=1,0,K70/PLOT!$K$10)</f>
        <v>0.11053221314194736</v>
      </c>
      <c r="T70">
        <f>IF($P$2=1,$M$2,$M$2+L70/PLOT!$K$10)</f>
        <v>24.00475490129235</v>
      </c>
    </row>
    <row r="71" spans="1:20" ht="12.75">
      <c r="A71">
        <f t="shared" si="9"/>
        <v>15.840000000000012</v>
      </c>
      <c r="B71">
        <v>0.1663339637454361</v>
      </c>
      <c r="C71">
        <v>4265637204.6484</v>
      </c>
      <c r="D71">
        <v>8.050367203533411E-07</v>
      </c>
      <c r="E71">
        <v>0.007113460540809309</v>
      </c>
      <c r="F71">
        <f t="shared" si="10"/>
        <v>0.5215296787800118</v>
      </c>
      <c r="G71">
        <f t="shared" si="11"/>
        <v>2128.9197358852266</v>
      </c>
      <c r="H71">
        <v>67</v>
      </c>
      <c r="I71">
        <f t="shared" si="7"/>
        <v>6.021356387803378</v>
      </c>
      <c r="J71">
        <f t="shared" si="12"/>
        <v>0.11908943822536532</v>
      </c>
      <c r="K71">
        <f t="shared" si="13"/>
        <v>0.4842836915342291</v>
      </c>
      <c r="L71">
        <f t="shared" si="14"/>
        <v>0.02083303215672595</v>
      </c>
      <c r="R71">
        <f t="shared" si="15"/>
        <v>-6.021356387803378</v>
      </c>
      <c r="S71">
        <f>IF($P$2=1,0,K71/PLOT!$K$10)</f>
        <v>0.09685673830684582</v>
      </c>
      <c r="T71">
        <f>IF($P$2=1,$M$2,$M$2+L71/PLOT!$K$10)</f>
        <v>24.004166606431344</v>
      </c>
    </row>
    <row r="72" spans="1:20" ht="12.75">
      <c r="A72">
        <f t="shared" si="9"/>
        <v>16.080000000000013</v>
      </c>
      <c r="B72">
        <v>0.1663339637454361</v>
      </c>
      <c r="C72">
        <v>4265637204.6484</v>
      </c>
      <c r="D72">
        <v>8.050367203533411E-07</v>
      </c>
      <c r="E72">
        <v>0.007113460540809309</v>
      </c>
      <c r="F72">
        <f t="shared" si="10"/>
        <v>0.5020164135105177</v>
      </c>
      <c r="G72">
        <f t="shared" si="11"/>
        <v>2041.7840942467435</v>
      </c>
      <c r="H72">
        <v>68</v>
      </c>
      <c r="I72">
        <f aca="true" t="shared" si="16" ref="I72:I105">I71+($G$2/200)*$L$2^(H72-2)</f>
        <v>6.382036803010597</v>
      </c>
      <c r="J72">
        <f t="shared" si="12"/>
        <v>0.10346319463318311</v>
      </c>
      <c r="K72">
        <f t="shared" si="13"/>
        <v>0.4207387202554642</v>
      </c>
      <c r="L72">
        <f t="shared" si="14"/>
        <v>0.01809943932014956</v>
      </c>
      <c r="R72">
        <f t="shared" si="15"/>
        <v>-6.382036803010597</v>
      </c>
      <c r="S72">
        <f>IF($P$2=1,0,K72/PLOT!$K$10)</f>
        <v>0.08414774405109285</v>
      </c>
      <c r="T72">
        <f>IF($P$2=1,$M$2,$M$2+L72/PLOT!$K$10)</f>
        <v>24.00361988786403</v>
      </c>
    </row>
    <row r="73" spans="1:20" ht="12.75">
      <c r="A73">
        <f t="shared" si="9"/>
        <v>16.32000000000001</v>
      </c>
      <c r="B73">
        <v>0.1663339637454361</v>
      </c>
      <c r="C73">
        <v>4265637204.6484</v>
      </c>
      <c r="D73">
        <v>8.050367203533411E-07</v>
      </c>
      <c r="E73">
        <v>0.007113460540809309</v>
      </c>
      <c r="F73">
        <f t="shared" si="10"/>
        <v>0.48330327712460225</v>
      </c>
      <c r="G73">
        <f t="shared" si="11"/>
        <v>1957.9027096083735</v>
      </c>
      <c r="H73">
        <v>69</v>
      </c>
      <c r="I73">
        <f t="shared" si="16"/>
        <v>6.7661614452062855</v>
      </c>
      <c r="J73">
        <f t="shared" si="12"/>
        <v>0.08906925972804076</v>
      </c>
      <c r="K73">
        <f t="shared" si="13"/>
        <v>0.3622049994197486</v>
      </c>
      <c r="L73">
        <f t="shared" si="14"/>
        <v>0.01558142165872457</v>
      </c>
      <c r="R73">
        <f t="shared" si="15"/>
        <v>-6.7661614452062855</v>
      </c>
      <c r="S73">
        <f>IF($P$2=1,0,K73/PLOT!$K$10)</f>
        <v>0.07244099988394972</v>
      </c>
      <c r="T73">
        <f>IF($P$2=1,$M$2,$M$2+L73/PLOT!$K$10)</f>
        <v>24.003116284331746</v>
      </c>
    </row>
    <row r="74" spans="1:20" ht="12.75">
      <c r="A74">
        <f t="shared" si="9"/>
        <v>16.56000000000001</v>
      </c>
      <c r="B74">
        <v>0.1663339637454361</v>
      </c>
      <c r="C74">
        <v>4265637204.6484</v>
      </c>
      <c r="D74">
        <v>8.050367203533411E-07</v>
      </c>
      <c r="E74">
        <v>0.007113460540809309</v>
      </c>
      <c r="F74">
        <f t="shared" si="10"/>
        <v>0.46536044406174254</v>
      </c>
      <c r="G74">
        <f t="shared" si="11"/>
        <v>1877.141889292273</v>
      </c>
      <c r="H74">
        <v>70</v>
      </c>
      <c r="I74">
        <f t="shared" si="16"/>
        <v>7.1752541891446935</v>
      </c>
      <c r="J74">
        <f t="shared" si="12"/>
        <v>0.07593483069602289</v>
      </c>
      <c r="K74">
        <f t="shared" si="13"/>
        <v>0.30879312786668284</v>
      </c>
      <c r="L74">
        <f t="shared" si="14"/>
        <v>0.013283736939896314</v>
      </c>
      <c r="R74">
        <f t="shared" si="15"/>
        <v>-7.1752541891446935</v>
      </c>
      <c r="S74">
        <f>IF($P$2=1,0,K74/PLOT!$K$10)</f>
        <v>0.06175862557333657</v>
      </c>
      <c r="T74">
        <f>IF($P$2=1,$M$2,$M$2+L74/PLOT!$K$10)</f>
        <v>24.00265674738798</v>
      </c>
    </row>
    <row r="75" spans="1:20" ht="12.75">
      <c r="A75">
        <f t="shared" si="9"/>
        <v>16.800000000000008</v>
      </c>
      <c r="B75">
        <v>0.1663339637454361</v>
      </c>
      <c r="C75">
        <v>4265637204.6484</v>
      </c>
      <c r="D75">
        <v>8.050367203533411E-07</v>
      </c>
      <c r="E75">
        <v>0.007113460540809309</v>
      </c>
      <c r="F75">
        <f t="shared" si="10"/>
        <v>0.4481593164940577</v>
      </c>
      <c r="G75">
        <f t="shared" si="11"/>
        <v>1799.372914270025</v>
      </c>
      <c r="H75">
        <v>71</v>
      </c>
      <c r="I75">
        <f t="shared" si="16"/>
        <v>7.610937961439098</v>
      </c>
      <c r="J75">
        <f t="shared" si="12"/>
        <v>0.06406938750898933</v>
      </c>
      <c r="K75">
        <f t="shared" si="13"/>
        <v>0.2605416564185426</v>
      </c>
      <c r="L75">
        <f t="shared" si="14"/>
        <v>0.011208043552196512</v>
      </c>
      <c r="R75">
        <f t="shared" si="15"/>
        <v>-7.610937961439098</v>
      </c>
      <c r="S75">
        <f>IF($P$2=1,0,K75/PLOT!$K$10)</f>
        <v>0.05210833128370852</v>
      </c>
      <c r="T75">
        <f>IF($P$2=1,$M$2,$M$2+L75/PLOT!$K$10)</f>
        <v>24.002241608710438</v>
      </c>
    </row>
    <row r="76" spans="1:20" ht="12.75">
      <c r="A76">
        <f t="shared" si="9"/>
        <v>17.040000000000006</v>
      </c>
      <c r="B76">
        <v>0.1663339637454361</v>
      </c>
      <c r="C76">
        <v>4265637204.6484</v>
      </c>
      <c r="D76">
        <v>8.050367203533411E-07</v>
      </c>
      <c r="E76">
        <v>0.007113460540809309</v>
      </c>
      <c r="F76">
        <f t="shared" si="10"/>
        <v>0.43167247874622977</v>
      </c>
      <c r="G76">
        <f t="shared" si="11"/>
        <v>1724.471834006373</v>
      </c>
      <c r="H76">
        <v>72</v>
      </c>
      <c r="I76">
        <f t="shared" si="16"/>
        <v>8.074941178932638</v>
      </c>
      <c r="J76">
        <f t="shared" si="12"/>
        <v>0.05346428162824587</v>
      </c>
      <c r="K76">
        <f t="shared" si="13"/>
        <v>0.21741541532133757</v>
      </c>
      <c r="L76">
        <f t="shared" si="14"/>
        <v>0.009352828554701008</v>
      </c>
      <c r="R76">
        <f t="shared" si="15"/>
        <v>-8.074941178932638</v>
      </c>
      <c r="S76">
        <f>IF($P$2=1,0,K76/PLOT!$K$10)</f>
        <v>0.043483083064267514</v>
      </c>
      <c r="T76">
        <f>IF($P$2=1,$M$2,$M$2+L76/PLOT!$K$10)</f>
        <v>24.00187056571094</v>
      </c>
    </row>
    <row r="77" spans="1:20" ht="12.75">
      <c r="A77">
        <f t="shared" si="9"/>
        <v>17.280000000000005</v>
      </c>
      <c r="B77">
        <v>0.1663339637454361</v>
      </c>
      <c r="C77">
        <v>4265637204.6484</v>
      </c>
      <c r="D77">
        <v>8.050367203533411E-07</v>
      </c>
      <c r="E77">
        <v>0.007113460540809309</v>
      </c>
      <c r="F77">
        <f t="shared" si="10"/>
        <v>0.4158736535995746</v>
      </c>
      <c r="G77">
        <f t="shared" si="11"/>
        <v>1652.3192689031266</v>
      </c>
      <c r="H77">
        <v>73</v>
      </c>
      <c r="I77">
        <f t="shared" si="16"/>
        <v>8.56910460556326</v>
      </c>
      <c r="J77">
        <f t="shared" si="12"/>
        <v>0.04409290929985946</v>
      </c>
      <c r="K77">
        <f t="shared" si="13"/>
        <v>0.17930621895965687</v>
      </c>
      <c r="L77">
        <f t="shared" si="14"/>
        <v>0.007713437992622247</v>
      </c>
      <c r="R77">
        <f t="shared" si="15"/>
        <v>-8.56910460556326</v>
      </c>
      <c r="S77">
        <f>IF($P$2=1,0,K77/PLOT!$K$10)</f>
        <v>0.035861243791931376</v>
      </c>
      <c r="T77">
        <f>IF($P$2=1,$M$2,$M$2+L77/PLOT!$K$10)</f>
        <v>24.001542687598523</v>
      </c>
    </row>
    <row r="78" spans="1:20" ht="12.75">
      <c r="A78">
        <f t="shared" si="9"/>
        <v>17.520000000000003</v>
      </c>
      <c r="B78">
        <v>0.1663339637454361</v>
      </c>
      <c r="C78">
        <v>4265637204.6484</v>
      </c>
      <c r="D78">
        <v>8.050367203533411E-07</v>
      </c>
      <c r="E78">
        <v>0.007113460540809309</v>
      </c>
      <c r="F78">
        <f t="shared" si="10"/>
        <v>0.40073766041061876</v>
      </c>
      <c r="G78">
        <f t="shared" si="11"/>
        <v>1582.8002200283595</v>
      </c>
      <c r="H78">
        <v>74</v>
      </c>
      <c r="I78">
        <f t="shared" si="16"/>
        <v>9.095388654924871</v>
      </c>
      <c r="J78">
        <f t="shared" si="12"/>
        <v>0.03591150452788916</v>
      </c>
      <c r="K78">
        <f t="shared" si="13"/>
        <v>0.14603609052553324</v>
      </c>
      <c r="L78">
        <f t="shared" si="14"/>
        <v>0.006282215616888971</v>
      </c>
      <c r="R78">
        <f t="shared" si="15"/>
        <v>-9.095388654924871</v>
      </c>
      <c r="S78">
        <f>IF($P$2=1,0,K78/PLOT!$K$10)</f>
        <v>0.029207218105106646</v>
      </c>
      <c r="T78">
        <f>IF($P$2=1,$M$2,$M$2+L78/PLOT!$K$10)</f>
        <v>24.001256443123378</v>
      </c>
    </row>
    <row r="79" spans="1:20" ht="12.75">
      <c r="A79">
        <f t="shared" si="9"/>
        <v>17.76</v>
      </c>
      <c r="B79">
        <v>0.1663339637454361</v>
      </c>
      <c r="C79">
        <v>4265637204.6484</v>
      </c>
      <c r="D79">
        <v>8.050367203533411E-07</v>
      </c>
      <c r="E79">
        <v>0.007113460540809309</v>
      </c>
      <c r="F79">
        <f t="shared" si="10"/>
        <v>0.38624037497743136</v>
      </c>
      <c r="G79">
        <f t="shared" si="11"/>
        <v>1515.8038858276464</v>
      </c>
      <c r="H79">
        <v>75</v>
      </c>
      <c r="I79">
        <f t="shared" si="16"/>
        <v>9.655881167494988</v>
      </c>
      <c r="J79">
        <f t="shared" si="12"/>
        <v>0.02886055382846094</v>
      </c>
      <c r="K79">
        <f t="shared" si="13"/>
        <v>0.11736301519300008</v>
      </c>
      <c r="L79">
        <f t="shared" si="14"/>
        <v>0.005048750375591106</v>
      </c>
      <c r="R79">
        <f t="shared" si="15"/>
        <v>-9.655881167494988</v>
      </c>
      <c r="S79">
        <f>IF($P$2=1,0,K79/PLOT!$K$10)</f>
        <v>0.023472603038600014</v>
      </c>
      <c r="T79">
        <f>IF($P$2=1,$M$2,$M$2+L79/PLOT!$K$10)</f>
        <v>24.001009750075117</v>
      </c>
    </row>
    <row r="80" spans="1:20" ht="12.75">
      <c r="A80">
        <f t="shared" si="9"/>
        <v>18</v>
      </c>
      <c r="B80">
        <v>0.1663339637454361</v>
      </c>
      <c r="C80">
        <v>4265637204.6484</v>
      </c>
      <c r="D80">
        <v>8.050367203533411E-07</v>
      </c>
      <c r="E80">
        <v>0.007113460540809309</v>
      </c>
      <c r="F80">
        <f t="shared" si="10"/>
        <v>0.3723586910897444</v>
      </c>
      <c r="G80">
        <f t="shared" si="11"/>
        <v>1451.2234855252102</v>
      </c>
      <c r="H80">
        <v>76</v>
      </c>
      <c r="I80">
        <f t="shared" si="16"/>
        <v>10.252805693382161</v>
      </c>
      <c r="J80">
        <f t="shared" si="12"/>
        <v>0.022866797203396</v>
      </c>
      <c r="K80">
        <f t="shared" si="13"/>
        <v>0.0929890771864142</v>
      </c>
      <c r="L80">
        <f t="shared" si="14"/>
        <v>0.004000226456339206</v>
      </c>
      <c r="R80">
        <f t="shared" si="15"/>
        <v>-10.252805693382161</v>
      </c>
      <c r="S80">
        <f>IF($P$2=1,0,K80/PLOT!$K$10)</f>
        <v>0.018597815437282842</v>
      </c>
      <c r="T80">
        <f>IF($P$2=1,$M$2,$M$2+L80/PLOT!$K$10)</f>
        <v>24.000800045291268</v>
      </c>
    </row>
    <row r="81" spans="1:20" ht="12.75">
      <c r="A81">
        <f t="shared" si="9"/>
        <v>18.24</v>
      </c>
      <c r="B81">
        <v>0.1663339637454361</v>
      </c>
      <c r="C81">
        <v>4265637204.6484</v>
      </c>
      <c r="D81">
        <v>8.050367203533411E-07</v>
      </c>
      <c r="E81">
        <v>0.007113460540809309</v>
      </c>
      <c r="F81">
        <f t="shared" si="10"/>
        <v>0.3590704837015787</v>
      </c>
      <c r="G81">
        <f t="shared" si="11"/>
        <v>1388.9560889335025</v>
      </c>
      <c r="H81">
        <v>77</v>
      </c>
      <c r="I81">
        <f t="shared" si="16"/>
        <v>10.888530313452</v>
      </c>
      <c r="J81">
        <f t="shared" si="12"/>
        <v>0.017845740096710378</v>
      </c>
      <c r="K81">
        <f t="shared" si="13"/>
        <v>0.0725706747884762</v>
      </c>
      <c r="L81">
        <f t="shared" si="14"/>
        <v>0.0031218627179328984</v>
      </c>
      <c r="R81">
        <f t="shared" si="15"/>
        <v>-10.888530313452</v>
      </c>
      <c r="S81">
        <f>IF($P$2=1,0,K81/PLOT!$K$10)</f>
        <v>0.01451413495769524</v>
      </c>
      <c r="T81">
        <f>IF($P$2=1,$M$2,$M$2+L81/PLOT!$K$10)</f>
        <v>24.000624372543587</v>
      </c>
    </row>
    <row r="82" spans="1:20" ht="12.75">
      <c r="A82">
        <f t="shared" si="9"/>
        <v>18.479999999999997</v>
      </c>
      <c r="B82">
        <v>0.1663339637454361</v>
      </c>
      <c r="C82">
        <v>4265637204.6484</v>
      </c>
      <c r="D82">
        <v>8.050367203533411E-07</v>
      </c>
      <c r="E82">
        <v>0.007113460540809309</v>
      </c>
      <c r="F82">
        <f t="shared" si="10"/>
        <v>0.3463545736676788</v>
      </c>
      <c r="G82">
        <f t="shared" si="11"/>
        <v>1328.9024523999694</v>
      </c>
      <c r="H82">
        <v>78</v>
      </c>
      <c r="I82">
        <f t="shared" si="16"/>
        <v>11.56557703382638</v>
      </c>
      <c r="J82">
        <f t="shared" si="12"/>
        <v>0.013704562843136347</v>
      </c>
      <c r="K82">
        <f t="shared" si="13"/>
        <v>0.05573035177122267</v>
      </c>
      <c r="L82">
        <f t="shared" si="14"/>
        <v>0.0023974216577009578</v>
      </c>
      <c r="R82">
        <f t="shared" si="15"/>
        <v>-11.56557703382638</v>
      </c>
      <c r="S82">
        <f>IF($P$2=1,0,K82/PLOT!$K$10)</f>
        <v>0.011146070354244534</v>
      </c>
      <c r="T82">
        <f>IF($P$2=1,$M$2,$M$2+L82/PLOT!$K$10)</f>
        <v>24.00047948433154</v>
      </c>
    </row>
    <row r="83" spans="1:20" ht="12.75">
      <c r="A83">
        <f t="shared" si="9"/>
        <v>18.719999999999995</v>
      </c>
      <c r="B83">
        <v>0.1663339637454361</v>
      </c>
      <c r="C83">
        <v>4265637204.6484</v>
      </c>
      <c r="D83">
        <v>8.050367203533411E-07</v>
      </c>
      <c r="E83">
        <v>0.007113460540809309</v>
      </c>
      <c r="F83">
        <f t="shared" si="10"/>
        <v>0.3341906939875539</v>
      </c>
      <c r="G83">
        <f t="shared" si="11"/>
        <v>1270.9668606295313</v>
      </c>
      <c r="H83">
        <v>79</v>
      </c>
      <c r="I83">
        <f t="shared" si="16"/>
        <v>12.286631791025092</v>
      </c>
      <c r="J83">
        <f t="shared" si="12"/>
        <v>0.010345281206603666</v>
      </c>
      <c r="K83">
        <f t="shared" si="13"/>
        <v>0.04206964989802595</v>
      </c>
      <c r="L83">
        <f t="shared" si="14"/>
        <v>0.0018097623035192184</v>
      </c>
      <c r="R83">
        <f t="shared" si="15"/>
        <v>-12.286631791025092</v>
      </c>
      <c r="S83">
        <f>IF($P$2=1,0,K83/PLOT!$K$10)</f>
        <v>0.008413929979605191</v>
      </c>
      <c r="T83">
        <f>IF($P$2=1,$M$2,$M$2+L83/PLOT!$K$10)</f>
        <v>24.000361952460704</v>
      </c>
    </row>
    <row r="84" spans="1:20" ht="12.75">
      <c r="A84">
        <f t="shared" si="9"/>
        <v>18.959999999999994</v>
      </c>
      <c r="B84">
        <v>0.1663339637454361</v>
      </c>
      <c r="C84">
        <v>4265637204.6484</v>
      </c>
      <c r="D84">
        <v>8.050367203533411E-07</v>
      </c>
      <c r="E84">
        <v>0.007113460540809309</v>
      </c>
      <c r="F84">
        <f t="shared" si="10"/>
        <v>0.32255945750332116</v>
      </c>
      <c r="G84">
        <f t="shared" si="11"/>
        <v>1215.0569741306588</v>
      </c>
      <c r="H84">
        <v>80</v>
      </c>
      <c r="I84">
        <f t="shared" si="16"/>
        <v>13.054555107441722</v>
      </c>
      <c r="J84">
        <f t="shared" si="12"/>
        <v>0.0076679880270617735</v>
      </c>
      <c r="K84">
        <f t="shared" si="13"/>
        <v>0.031182291257083095</v>
      </c>
      <c r="L84">
        <f t="shared" si="14"/>
        <v>0.00134140729459871</v>
      </c>
      <c r="R84">
        <f t="shared" si="15"/>
        <v>-13.054555107441722</v>
      </c>
      <c r="S84">
        <f>IF($P$2=1,0,K84/PLOT!$K$10)</f>
        <v>0.006236458251416619</v>
      </c>
      <c r="T84">
        <f>IF($P$2=1,$M$2,$M$2+L84/PLOT!$K$10)</f>
        <v>24.00026828145892</v>
      </c>
    </row>
    <row r="85" spans="1:20" ht="12.75">
      <c r="A85">
        <f t="shared" si="9"/>
        <v>19.199999999999992</v>
      </c>
      <c r="B85">
        <v>0.1663339637454361</v>
      </c>
      <c r="C85">
        <v>4265637204.6484</v>
      </c>
      <c r="D85">
        <v>8.050367203533411E-07</v>
      </c>
      <c r="E85">
        <v>0.007113460540809309</v>
      </c>
      <c r="F85">
        <f t="shared" si="10"/>
        <v>0.31144232599987</v>
      </c>
      <c r="G85">
        <f t="shared" si="11"/>
        <v>1161.0836820419115</v>
      </c>
      <c r="H85">
        <v>81</v>
      </c>
      <c r="I85">
        <f t="shared" si="16"/>
        <v>13.872393439425434</v>
      </c>
      <c r="J85">
        <f t="shared" si="12"/>
        <v>0.005573995261255193</v>
      </c>
      <c r="K85">
        <f t="shared" si="13"/>
        <v>0.022666955541486553</v>
      </c>
      <c r="L85">
        <f t="shared" si="14"/>
        <v>0.0009750925375885597</v>
      </c>
      <c r="R85">
        <f t="shared" si="15"/>
        <v>-13.872393439425434</v>
      </c>
      <c r="S85">
        <f>IF($P$2=1,0,K85/PLOT!$K$10)</f>
        <v>0.004533391108297311</v>
      </c>
      <c r="T85">
        <f>IF($P$2=1,$M$2,$M$2+L85/PLOT!$K$10)</f>
        <v>24.00019501850752</v>
      </c>
    </row>
    <row r="86" spans="1:20" ht="12.75">
      <c r="A86">
        <f t="shared" si="9"/>
        <v>19.43999999999999</v>
      </c>
      <c r="B86">
        <v>0.1663339637454361</v>
      </c>
      <c r="C86">
        <v>4265637204.6484</v>
      </c>
      <c r="D86">
        <v>8.050367203533411E-07</v>
      </c>
      <c r="E86">
        <v>0.007113460540809309</v>
      </c>
      <c r="F86">
        <f t="shared" si="10"/>
        <v>0.3008215806580959</v>
      </c>
      <c r="G86">
        <f t="shared" si="11"/>
        <v>1108.960960104361</v>
      </c>
      <c r="H86">
        <v>82</v>
      </c>
      <c r="I86">
        <f t="shared" si="16"/>
        <v>14.743391262988085</v>
      </c>
      <c r="J86">
        <f t="shared" si="12"/>
        <v>0.003968700265424422</v>
      </c>
      <c r="K86">
        <f t="shared" si="13"/>
        <v>0.016138935944054567</v>
      </c>
      <c r="L86">
        <f t="shared" si="14"/>
        <v>0.0006942686226592969</v>
      </c>
      <c r="R86">
        <f t="shared" si="15"/>
        <v>-14.743391262988085</v>
      </c>
      <c r="S86">
        <f>IF($P$2=1,0,K86/PLOT!$K$10)</f>
        <v>0.0032277871888109133</v>
      </c>
      <c r="T86">
        <f>IF($P$2=1,$M$2,$M$2+L86/PLOT!$K$10)</f>
        <v>24.000138853724533</v>
      </c>
    </row>
    <row r="87" spans="1:20" ht="12.75">
      <c r="A87">
        <f t="shared" si="9"/>
        <v>19.67999999999999</v>
      </c>
      <c r="B87">
        <v>0.1663339637454361</v>
      </c>
      <c r="C87">
        <v>4265637204.6484</v>
      </c>
      <c r="D87">
        <v>8.050367203533411E-07</v>
      </c>
      <c r="E87">
        <v>0.007113460540809309</v>
      </c>
      <c r="F87">
        <f t="shared" si="10"/>
        <v>0.29068029381411303</v>
      </c>
      <c r="G87">
        <f t="shared" si="11"/>
        <v>1058.605733553536</v>
      </c>
      <c r="H87">
        <v>83</v>
      </c>
      <c r="I87">
        <f t="shared" si="16"/>
        <v>15.67100394508231</v>
      </c>
      <c r="J87">
        <f t="shared" si="12"/>
        <v>0.002764020858625191</v>
      </c>
      <c r="K87">
        <f t="shared" si="13"/>
        <v>0.011240041475042496</v>
      </c>
      <c r="L87">
        <f t="shared" si="14"/>
        <v>0.0004835268037844775</v>
      </c>
      <c r="R87">
        <f t="shared" si="15"/>
        <v>-15.67100394508231</v>
      </c>
      <c r="S87">
        <f>IF($P$2=1,0,K87/PLOT!$K$10)</f>
        <v>0.002248008295008499</v>
      </c>
      <c r="T87">
        <f>IF($P$2=1,$M$2,$M$2+L87/PLOT!$K$10)</f>
        <v>24.000096705360757</v>
      </c>
    </row>
    <row r="88" spans="1:20" ht="12.75">
      <c r="A88">
        <f t="shared" si="9"/>
        <v>19.919999999999987</v>
      </c>
      <c r="B88">
        <v>0.1663339637454361</v>
      </c>
      <c r="C88">
        <v>4265637204.6484</v>
      </c>
      <c r="D88">
        <v>8.050367203533411E-07</v>
      </c>
      <c r="E88">
        <v>0.007113460540809309</v>
      </c>
      <c r="F88">
        <f t="shared" si="10"/>
        <v>0.28100230197943354</v>
      </c>
      <c r="G88">
        <f t="shared" si="11"/>
        <v>1009.9377447123616</v>
      </c>
      <c r="H88">
        <v>84</v>
      </c>
      <c r="I88">
        <f t="shared" si="16"/>
        <v>16.658911451512658</v>
      </c>
      <c r="J88">
        <f t="shared" si="12"/>
        <v>0.001880279356745773</v>
      </c>
      <c r="K88">
        <f t="shared" si="13"/>
        <v>0.0076462584891638105</v>
      </c>
      <c r="L88">
        <f t="shared" si="14"/>
        <v>0.00032892858415020464</v>
      </c>
      <c r="R88">
        <f t="shared" si="15"/>
        <v>-16.658911451512658</v>
      </c>
      <c r="S88">
        <f>IF($P$2=1,0,K88/PLOT!$K$10)</f>
        <v>0.0015292516978327622</v>
      </c>
      <c r="T88">
        <f>IF($P$2=1,$M$2,$M$2+L88/PLOT!$K$10)</f>
        <v>24.00006578571683</v>
      </c>
    </row>
    <row r="89" spans="1:20" ht="12.75">
      <c r="A89">
        <f t="shared" si="9"/>
        <v>20.159999999999986</v>
      </c>
      <c r="B89">
        <v>0.1663339637454361</v>
      </c>
      <c r="C89">
        <v>4265637204.6484</v>
      </c>
      <c r="D89">
        <v>8.050367203533411E-07</v>
      </c>
      <c r="E89">
        <v>0.007113460540809309</v>
      </c>
      <c r="F89">
        <f t="shared" si="10"/>
        <v>0.27177218007911236</v>
      </c>
      <c r="G89">
        <f t="shared" si="11"/>
        <v>962.8794250740511</v>
      </c>
      <c r="H89">
        <v>85</v>
      </c>
      <c r="I89">
        <f t="shared" si="16"/>
        <v>17.71103294586098</v>
      </c>
      <c r="J89">
        <f t="shared" si="12"/>
        <v>0.0012474631026867852</v>
      </c>
      <c r="K89">
        <f t="shared" si="13"/>
        <v>0.005072876700271681</v>
      </c>
      <c r="L89">
        <f t="shared" si="14"/>
        <v>0.00021822622828585603</v>
      </c>
      <c r="R89">
        <f t="shared" si="15"/>
        <v>-17.71103294586098</v>
      </c>
      <c r="S89">
        <f>IF($P$2=1,0,K89/PLOT!$K$10)</f>
        <v>0.0010145753400543362</v>
      </c>
      <c r="T89">
        <f>IF($P$2=1,$M$2,$M$2+L89/PLOT!$K$10)</f>
        <v>24.000043645245658</v>
      </c>
    </row>
    <row r="90" spans="1:20" ht="12.75">
      <c r="A90">
        <f t="shared" si="9"/>
        <v>20.399999999999984</v>
      </c>
      <c r="B90">
        <v>0.1663339637454361</v>
      </c>
      <c r="C90">
        <v>4265637204.6484</v>
      </c>
      <c r="D90">
        <v>8.050367203533411E-07</v>
      </c>
      <c r="E90">
        <v>0.007113460540809309</v>
      </c>
      <c r="F90">
        <f t="shared" si="10"/>
        <v>0.26297521686679864</v>
      </c>
      <c r="G90">
        <f t="shared" si="11"/>
        <v>917.3557716710891</v>
      </c>
      <c r="H90">
        <v>86</v>
      </c>
      <c r="I90">
        <f t="shared" si="16"/>
        <v>18.83154233734194</v>
      </c>
      <c r="J90">
        <f t="shared" si="12"/>
        <v>0.0008058429047959403</v>
      </c>
      <c r="K90">
        <f t="shared" si="13"/>
        <v>0.0032770040949619836</v>
      </c>
      <c r="L90">
        <f t="shared" si="14"/>
        <v>0.00014097094922148603</v>
      </c>
      <c r="R90">
        <f t="shared" si="15"/>
        <v>-18.83154233734194</v>
      </c>
      <c r="S90">
        <f>IF($P$2=1,0,K90/PLOT!$K$10)</f>
        <v>0.0006554008189923967</v>
      </c>
      <c r="T90">
        <f>IF($P$2=1,$M$2,$M$2+L90/PLOT!$K$10)</f>
        <v>24.000028194189845</v>
      </c>
    </row>
    <row r="91" spans="1:20" ht="12.75">
      <c r="A91">
        <f t="shared" si="9"/>
        <v>20.639999999999983</v>
      </c>
      <c r="B91">
        <v>0.1663339637454361</v>
      </c>
      <c r="C91">
        <v>4265637204.6484</v>
      </c>
      <c r="D91">
        <v>8.050367203533411E-07</v>
      </c>
      <c r="E91">
        <v>0.007113460540809309</v>
      </c>
      <c r="F91">
        <f t="shared" si="10"/>
        <v>0.2545973914775076</v>
      </c>
      <c r="G91">
        <f t="shared" si="11"/>
        <v>873.2942275332383</v>
      </c>
      <c r="H91">
        <v>87</v>
      </c>
      <c r="I91">
        <f t="shared" si="16"/>
        <v>20.024884839269163</v>
      </c>
      <c r="J91">
        <f t="shared" si="12"/>
        <v>0.0005059848783877951</v>
      </c>
      <c r="K91">
        <f t="shared" si="13"/>
        <v>0.00205761508675878</v>
      </c>
      <c r="L91">
        <f t="shared" si="14"/>
        <v>8.851497999614204E-05</v>
      </c>
      <c r="R91">
        <f t="shared" si="15"/>
        <v>-20.024884839269163</v>
      </c>
      <c r="S91">
        <f>IF($P$2=1,0,K91/PLOT!$K$10)</f>
        <v>0.000411523017351756</v>
      </c>
      <c r="T91">
        <f>IF($P$2=1,$M$2,$M$2+L91/PLOT!$K$10)</f>
        <v>24.000017702996</v>
      </c>
    </row>
    <row r="92" spans="1:20" ht="12.75">
      <c r="A92">
        <f t="shared" si="9"/>
        <v>20.87999999999998</v>
      </c>
      <c r="B92">
        <v>0.1663339637454361</v>
      </c>
      <c r="C92">
        <v>4265637204.6484</v>
      </c>
      <c r="D92">
        <v>8.050367203533411E-07</v>
      </c>
      <c r="E92">
        <v>0.007113460540809309</v>
      </c>
      <c r="F92">
        <f t="shared" si="10"/>
        <v>0.2466253510807438</v>
      </c>
      <c r="G92">
        <f t="shared" si="11"/>
        <v>830.6245660440552</v>
      </c>
      <c r="H92">
        <v>88</v>
      </c>
      <c r="I92">
        <f t="shared" si="16"/>
        <v>21.29579460382166</v>
      </c>
      <c r="J92">
        <f t="shared" si="12"/>
        <v>0.00030823883477857023</v>
      </c>
      <c r="K92">
        <f t="shared" si="13"/>
        <v>0.0012534700222389718</v>
      </c>
      <c r="L92">
        <f t="shared" si="14"/>
        <v>5.392207447264572E-05</v>
      </c>
      <c r="R92">
        <f t="shared" si="15"/>
        <v>-21.29579460382166</v>
      </c>
      <c r="S92">
        <f>IF($P$2=1,0,K92/PLOT!$K$10)</f>
        <v>0.00025069400444779433</v>
      </c>
      <c r="T92">
        <f>IF($P$2=1,$M$2,$M$2+L92/PLOT!$K$10)</f>
        <v>24.000010784414894</v>
      </c>
    </row>
    <row r="93" spans="1:20" ht="12.75">
      <c r="A93">
        <f t="shared" si="9"/>
        <v>21.11999999999998</v>
      </c>
      <c r="B93">
        <v>0.1663339637454361</v>
      </c>
      <c r="C93">
        <v>4265637204.6484</v>
      </c>
      <c r="D93">
        <v>8.050367203533411E-07</v>
      </c>
      <c r="E93">
        <v>0.007113460540809309</v>
      </c>
      <c r="F93">
        <f t="shared" si="10"/>
        <v>0.23904638959835742</v>
      </c>
      <c r="G93">
        <f t="shared" si="11"/>
        <v>789.2787790115939</v>
      </c>
      <c r="H93">
        <v>89</v>
      </c>
      <c r="I93">
        <f t="shared" si="16"/>
        <v>22.649313503070065</v>
      </c>
      <c r="J93">
        <f t="shared" si="12"/>
        <v>0.00018182178148905753</v>
      </c>
      <c r="K93">
        <f t="shared" si="13"/>
        <v>0.0007393881846534391</v>
      </c>
      <c r="L93">
        <f t="shared" si="14"/>
        <v>3.180717851222456E-05</v>
      </c>
      <c r="R93">
        <f t="shared" si="15"/>
        <v>-22.649313503070065</v>
      </c>
      <c r="S93">
        <f>IF($P$2=1,0,K93/PLOT!$K$10)</f>
        <v>0.00014787763693068783</v>
      </c>
      <c r="T93">
        <f>IF($P$2=1,$M$2,$M$2+L93/PLOT!$K$10)</f>
        <v>24.0000063614357</v>
      </c>
    </row>
    <row r="94" spans="1:20" ht="12.75">
      <c r="A94">
        <f t="shared" si="9"/>
        <v>21.359999999999978</v>
      </c>
      <c r="B94">
        <v>0.1663339637454361</v>
      </c>
      <c r="C94">
        <v>4265637204.6484</v>
      </c>
      <c r="D94">
        <v>8.050367203533411E-07</v>
      </c>
      <c r="E94">
        <v>0.007113460540809309</v>
      </c>
      <c r="F94">
        <f t="shared" si="10"/>
        <v>0.23184842745321446</v>
      </c>
      <c r="G94">
        <f t="shared" si="11"/>
        <v>749.1909682749009</v>
      </c>
      <c r="H94">
        <v>90</v>
      </c>
      <c r="I94">
        <f t="shared" si="16"/>
        <v>24.090811130769616</v>
      </c>
      <c r="J94">
        <f t="shared" si="12"/>
        <v>0.00010363435984854901</v>
      </c>
      <c r="K94">
        <f t="shared" si="13"/>
        <v>0.0004214347729331398</v>
      </c>
      <c r="L94">
        <f t="shared" si="14"/>
        <v>1.8129382281414378E-05</v>
      </c>
      <c r="R94">
        <f t="shared" si="15"/>
        <v>-24.090811130769616</v>
      </c>
      <c r="S94">
        <f>IF($P$2=1,0,K94/PLOT!$K$10)</f>
        <v>8.428695458662796E-05</v>
      </c>
      <c r="T94">
        <f>IF($P$2=1,$M$2,$M$2+L94/PLOT!$K$10)</f>
        <v>24.000003625876456</v>
      </c>
    </row>
    <row r="95" spans="1:20" ht="12.75">
      <c r="A95">
        <f t="shared" si="9"/>
        <v>21.599999999999977</v>
      </c>
      <c r="B95">
        <v>0.1663339637454361</v>
      </c>
      <c r="C95">
        <v>4265637204.6484</v>
      </c>
      <c r="D95">
        <v>8.050367203533411E-07</v>
      </c>
      <c r="E95">
        <v>0.007113460540809309</v>
      </c>
      <c r="F95">
        <f t="shared" si="10"/>
        <v>0.22501999231640257</v>
      </c>
      <c r="G95">
        <f t="shared" si="11"/>
        <v>710.2972406735405</v>
      </c>
      <c r="H95">
        <v>91</v>
      </c>
      <c r="I95">
        <f t="shared" si="16"/>
        <v>25.62600610426964</v>
      </c>
      <c r="J95">
        <f t="shared" si="12"/>
        <v>5.69498245522966E-05</v>
      </c>
      <c r="K95">
        <f t="shared" si="13"/>
        <v>0.00023158956560212013</v>
      </c>
      <c r="L95">
        <f t="shared" si="14"/>
        <v>9.962575555799307E-06</v>
      </c>
      <c r="R95">
        <f t="shared" si="15"/>
        <v>-25.62600610426964</v>
      </c>
      <c r="S95">
        <f>IF($P$2=1,0,K95/PLOT!$K$10)</f>
        <v>4.6317913120424024E-05</v>
      </c>
      <c r="T95">
        <f>IF($P$2=1,$M$2,$M$2+L95/PLOT!$K$10)</f>
        <v>24.000001992515113</v>
      </c>
    </row>
    <row r="96" spans="1:20" ht="12.75">
      <c r="A96">
        <f t="shared" si="9"/>
        <v>21.839999999999975</v>
      </c>
      <c r="B96">
        <v>0.1663339637454361</v>
      </c>
      <c r="C96">
        <v>4265637204.6484</v>
      </c>
      <c r="D96">
        <v>8.050367203533411E-07</v>
      </c>
      <c r="E96">
        <v>0.007113460540809309</v>
      </c>
      <c r="F96">
        <f t="shared" si="10"/>
        <v>0.21855020082228735</v>
      </c>
      <c r="G96">
        <f t="shared" si="11"/>
        <v>672.5356062127503</v>
      </c>
      <c r="H96">
        <v>92</v>
      </c>
      <c r="I96">
        <f t="shared" si="16"/>
        <v>27.26098875104716</v>
      </c>
      <c r="J96">
        <f t="shared" si="12"/>
        <v>3.0100954843116985E-05</v>
      </c>
      <c r="K96">
        <f t="shared" si="13"/>
        <v>0.0001224071735273744</v>
      </c>
      <c r="L96">
        <f t="shared" si="14"/>
        <v>5.265741190315269E-06</v>
      </c>
      <c r="R96">
        <f t="shared" si="15"/>
        <v>-27.26098875104716</v>
      </c>
      <c r="S96">
        <f>IF($P$2=1,0,K96/PLOT!$K$10)</f>
        <v>2.4481434705474882E-05</v>
      </c>
      <c r="T96">
        <f>IF($P$2=1,$M$2,$M$2+L96/PLOT!$K$10)</f>
        <v>24.00000105314824</v>
      </c>
    </row>
    <row r="97" spans="1:20" ht="12.75">
      <c r="A97">
        <f t="shared" si="9"/>
        <v>22.079999999999973</v>
      </c>
      <c r="B97">
        <v>0.1663339637454361</v>
      </c>
      <c r="C97">
        <v>4265637204.6484</v>
      </c>
      <c r="D97">
        <v>8.050367203533411E-07</v>
      </c>
      <c r="E97">
        <v>0.007113460540809309</v>
      </c>
      <c r="F97">
        <f t="shared" si="10"/>
        <v>0.2124287412222769</v>
      </c>
      <c r="G97">
        <f t="shared" si="11"/>
        <v>635.8458792619214</v>
      </c>
      <c r="H97">
        <v>93</v>
      </c>
      <c r="I97">
        <f t="shared" si="16"/>
        <v>29.002245269865224</v>
      </c>
      <c r="J97">
        <f t="shared" si="12"/>
        <v>1.5264017887227234E-05</v>
      </c>
      <c r="K97">
        <f t="shared" si="13"/>
        <v>6.207196070638979E-05</v>
      </c>
      <c r="L97">
        <f t="shared" si="14"/>
        <v>2.670226513989163E-06</v>
      </c>
      <c r="R97">
        <f t="shared" si="15"/>
        <v>-29.002245269865224</v>
      </c>
      <c r="S97">
        <f>IF($P$2=1,0,K97/PLOT!$K$10)</f>
        <v>1.2414392141277958E-05</v>
      </c>
      <c r="T97">
        <f>IF($P$2=1,$M$2,$M$2+L97/PLOT!$K$10)</f>
        <v>24.000000534045302</v>
      </c>
    </row>
    <row r="98" spans="1:20" ht="12.75">
      <c r="A98">
        <f t="shared" si="9"/>
        <v>22.319999999999972</v>
      </c>
      <c r="B98">
        <v>0.1663339637454361</v>
      </c>
      <c r="C98">
        <v>4265637204.6484</v>
      </c>
      <c r="D98">
        <v>8.050367203533411E-07</v>
      </c>
      <c r="E98">
        <v>0.007113460540809309</v>
      </c>
      <c r="F98">
        <f t="shared" si="10"/>
        <v>0.20664585694964588</v>
      </c>
      <c r="G98">
        <f t="shared" si="11"/>
        <v>600.1695826289266</v>
      </c>
      <c r="H98">
        <v>94</v>
      </c>
      <c r="I98">
        <f t="shared" si="16"/>
        <v>30.856683462406462</v>
      </c>
      <c r="J98">
        <f t="shared" si="12"/>
        <v>7.406076930673122E-06</v>
      </c>
      <c r="K98">
        <f t="shared" si="13"/>
        <v>3.011721550810826E-05</v>
      </c>
      <c r="L98">
        <f t="shared" si="14"/>
        <v>1.2955896102215077E-06</v>
      </c>
      <c r="R98">
        <f t="shared" si="15"/>
        <v>-30.856683462406462</v>
      </c>
      <c r="S98">
        <f>IF($P$2=1,0,K98/PLOT!$K$10)</f>
        <v>6.023443101621652E-06</v>
      </c>
      <c r="T98">
        <f>IF($P$2=1,$M$2,$M$2+L98/PLOT!$K$10)</f>
        <v>24.000000259117922</v>
      </c>
    </row>
    <row r="99" spans="1:20" ht="12.75">
      <c r="A99">
        <f aca="true" t="shared" si="17" ref="A99:A105">A98+$C$2</f>
        <v>22.55999999999997</v>
      </c>
      <c r="B99">
        <v>0.1663339637454361</v>
      </c>
      <c r="C99">
        <v>4265637204.6484</v>
      </c>
      <c r="D99">
        <v>8.050367203533411E-07</v>
      </c>
      <c r="E99">
        <v>0.007113460540809309</v>
      </c>
      <c r="F99">
        <f t="shared" si="10"/>
        <v>0.20119233106922566</v>
      </c>
      <c r="G99">
        <f t="shared" si="11"/>
        <v>565.4498543574094</v>
      </c>
      <c r="H99">
        <v>95</v>
      </c>
      <c r="I99">
        <f t="shared" si="16"/>
        <v>32.83166013746288</v>
      </c>
      <c r="J99">
        <f t="shared" si="12"/>
        <v>3.4284066559907975E-06</v>
      </c>
      <c r="K99">
        <f t="shared" si="13"/>
        <v>1.3941802532494499E-05</v>
      </c>
      <c r="L99">
        <f t="shared" si="14"/>
        <v>5.997518098576156E-07</v>
      </c>
      <c r="R99">
        <f t="shared" si="15"/>
        <v>-32.83166013746288</v>
      </c>
      <c r="S99">
        <f>IF($P$2=1,0,K99/PLOT!$K$10)</f>
        <v>2.7883605064989E-06</v>
      </c>
      <c r="T99">
        <f>IF($P$2=1,$M$2,$M$2+L99/PLOT!$K$10)</f>
        <v>24.00000011995036</v>
      </c>
    </row>
    <row r="100" spans="1:20" ht="12.75">
      <c r="A100">
        <f t="shared" si="17"/>
        <v>22.79999999999997</v>
      </c>
      <c r="B100">
        <v>0.1663339637454361</v>
      </c>
      <c r="C100">
        <v>4265637204.6484</v>
      </c>
      <c r="D100">
        <v>8.050367203533411E-07</v>
      </c>
      <c r="E100">
        <v>0.007113460540809309</v>
      </c>
      <c r="F100">
        <f aca="true" t="shared" si="18" ref="F100:F105">(D100*EXP(B100*A100)+E100*EXP(-B100*A100))*1000</f>
        <v>0.1960594715871753</v>
      </c>
      <c r="G100">
        <f t="shared" si="11"/>
        <v>531.6313570984856</v>
      </c>
      <c r="H100">
        <v>96</v>
      </c>
      <c r="I100">
        <f t="shared" si="16"/>
        <v>34.93501029639797</v>
      </c>
      <c r="J100">
        <f t="shared" si="12"/>
        <v>1.509573305458008E-06</v>
      </c>
      <c r="K100">
        <f t="shared" si="13"/>
        <v>6.138762126203573E-06</v>
      </c>
      <c r="L100">
        <f t="shared" si="14"/>
        <v>2.640787435408636E-07</v>
      </c>
      <c r="R100">
        <f t="shared" si="15"/>
        <v>-34.93501029639797</v>
      </c>
      <c r="S100">
        <f>IF($P$2=1,0,K100/PLOT!$K$10)</f>
        <v>1.2277524252407145E-06</v>
      </c>
      <c r="T100">
        <f>IF($P$2=1,$M$2,$M$2+L100/PLOT!$K$10)</f>
        <v>24.00000005281575</v>
      </c>
    </row>
    <row r="101" spans="1:20" ht="12.75">
      <c r="A101">
        <f t="shared" si="17"/>
        <v>23.039999999999967</v>
      </c>
      <c r="B101">
        <v>0.1663339637454361</v>
      </c>
      <c r="C101">
        <v>4265637204.6484</v>
      </c>
      <c r="D101">
        <v>8.050367203533411E-07</v>
      </c>
      <c r="E101">
        <v>0.007113460540809309</v>
      </c>
      <c r="F101">
        <f t="shared" si="18"/>
        <v>0.1912390975974201</v>
      </c>
      <c r="G101">
        <f t="shared" si="11"/>
        <v>498.6601899124101</v>
      </c>
      <c r="H101">
        <v>97</v>
      </c>
      <c r="I101">
        <f t="shared" si="16"/>
        <v>37.17507821566383</v>
      </c>
      <c r="J101">
        <f t="shared" si="12"/>
        <v>6.301741833215407E-07</v>
      </c>
      <c r="K101">
        <f t="shared" si="13"/>
        <v>2.5626376642317695E-06</v>
      </c>
      <c r="L101">
        <f t="shared" si="14"/>
        <v>1.102401625292065E-07</v>
      </c>
      <c r="R101">
        <f t="shared" si="15"/>
        <v>-37.17507821566383</v>
      </c>
      <c r="S101">
        <f>IF($P$2=1,0,K101/PLOT!$K$10)</f>
        <v>5.125275328463539E-07</v>
      </c>
      <c r="T101">
        <f>IF($P$2=1,$M$2,$M$2+L101/PLOT!$K$10)</f>
        <v>24.00000002204803</v>
      </c>
    </row>
    <row r="102" spans="1:20" ht="12.75">
      <c r="A102">
        <f t="shared" si="17"/>
        <v>23.279999999999966</v>
      </c>
      <c r="B102">
        <v>0.1663339637454361</v>
      </c>
      <c r="C102">
        <v>4265637204.6484</v>
      </c>
      <c r="D102">
        <v>8.050367203533411E-07</v>
      </c>
      <c r="E102">
        <v>0.007113460540809309</v>
      </c>
      <c r="F102">
        <f t="shared" si="18"/>
        <v>0.18672352624267663</v>
      </c>
      <c r="G102">
        <f t="shared" si="11"/>
        <v>466.4838023596325</v>
      </c>
      <c r="H102">
        <v>98</v>
      </c>
      <c r="I102">
        <f t="shared" si="16"/>
        <v>39.56075054968198</v>
      </c>
      <c r="J102">
        <f t="shared" si="12"/>
        <v>2.485457967801846E-07</v>
      </c>
      <c r="K102">
        <f t="shared" si="13"/>
        <v>1.0107250296389993E-06</v>
      </c>
      <c r="L102">
        <f t="shared" si="14"/>
        <v>4.3479612078964235E-08</v>
      </c>
      <c r="R102">
        <f t="shared" si="15"/>
        <v>-39.56075054968198</v>
      </c>
      <c r="S102">
        <f>IF($P$2=1,0,K102/PLOT!$K$10)</f>
        <v>2.0214500592779985E-07</v>
      </c>
      <c r="T102">
        <f>IF($P$2=1,$M$2,$M$2+L102/PLOT!$K$10)</f>
        <v>24.000000008695924</v>
      </c>
    </row>
    <row r="103" spans="1:20" ht="12.75">
      <c r="A103">
        <f t="shared" si="17"/>
        <v>23.519999999999964</v>
      </c>
      <c r="B103">
        <v>0.1663339637454361</v>
      </c>
      <c r="C103">
        <v>4265637204.6484</v>
      </c>
      <c r="D103">
        <v>8.050367203533411E-07</v>
      </c>
      <c r="E103">
        <v>0.007113460540809309</v>
      </c>
      <c r="F103">
        <f t="shared" si="18"/>
        <v>0.1825055604692839</v>
      </c>
      <c r="G103">
        <f t="shared" si="11"/>
        <v>435.0509107443271</v>
      </c>
      <c r="H103">
        <v>99</v>
      </c>
      <c r="I103">
        <f t="shared" si="16"/>
        <v>42.1014915854113</v>
      </c>
      <c r="J103">
        <f t="shared" si="12"/>
        <v>9.227599077502952E-08</v>
      </c>
      <c r="K103">
        <f t="shared" si="13"/>
        <v>3.752453460057683E-07</v>
      </c>
      <c r="L103">
        <f t="shared" si="14"/>
        <v>1.614239442016681E-08</v>
      </c>
      <c r="R103">
        <f t="shared" si="15"/>
        <v>-42.1014915854113</v>
      </c>
      <c r="S103">
        <f>IF($P$2=1,0,K103/PLOT!$K$10)</f>
        <v>7.504906920115366E-08</v>
      </c>
      <c r="T103">
        <f>IF($P$2=1,$M$2,$M$2+L103/PLOT!$K$10)</f>
        <v>24.00000000322848</v>
      </c>
    </row>
    <row r="104" spans="1:20" ht="12.75">
      <c r="A104">
        <f t="shared" si="17"/>
        <v>23.759999999999962</v>
      </c>
      <c r="B104">
        <v>0.1663339637454361</v>
      </c>
      <c r="C104">
        <v>4265637204.6484</v>
      </c>
      <c r="D104">
        <v>8.050367203533411E-07</v>
      </c>
      <c r="E104">
        <v>0.007113460540809309</v>
      </c>
      <c r="F104">
        <f t="shared" si="18"/>
        <v>0.17857847755632197</v>
      </c>
      <c r="G104">
        <f t="shared" si="11"/>
        <v>404.31141637689154</v>
      </c>
      <c r="H104">
        <v>100</v>
      </c>
      <c r="I104">
        <f t="shared" si="16"/>
        <v>44.807380788463036</v>
      </c>
      <c r="J104">
        <f t="shared" si="12"/>
        <v>3.2121835961060455E-08</v>
      </c>
      <c r="K104">
        <f t="shared" si="13"/>
        <v>1.3062519674197237E-07</v>
      </c>
      <c r="L104">
        <f t="shared" si="14"/>
        <v>5.61926608674953E-09</v>
      </c>
      <c r="R104">
        <f t="shared" si="15"/>
        <v>-44.807380788463036</v>
      </c>
      <c r="S104">
        <f>IF($P$2=1,0,K104/PLOT!$K$10)</f>
        <v>2.6125039348394475E-08</v>
      </c>
      <c r="T104">
        <f>IF($P$2=1,$M$2,$M$2+L104/PLOT!$K$10)</f>
        <v>24.000000001123855</v>
      </c>
    </row>
    <row r="105" spans="1:20" ht="12.75">
      <c r="A105">
        <f t="shared" si="17"/>
        <v>23.99999999999996</v>
      </c>
      <c r="B105">
        <v>0.1663339637454361</v>
      </c>
      <c r="C105">
        <v>4265637204.6484</v>
      </c>
      <c r="D105">
        <v>8.050367203533411E-07</v>
      </c>
      <c r="E105">
        <v>0.007113460540809309</v>
      </c>
      <c r="F105">
        <f t="shared" si="18"/>
        <v>0.17493601840073708</v>
      </c>
      <c r="G105">
        <f t="shared" si="11"/>
        <v>374.21632572514636</v>
      </c>
      <c r="H105">
        <v>101</v>
      </c>
      <c r="I105">
        <f t="shared" si="16"/>
        <v>47.68915278971313</v>
      </c>
      <c r="J105">
        <f t="shared" si="12"/>
        <v>1.044054716640941E-08</v>
      </c>
      <c r="K105">
        <f t="shared" si="13"/>
        <v>4.245705411606391E-08</v>
      </c>
      <c r="L105">
        <f t="shared" si="14"/>
        <v>1.82642775121676E-09</v>
      </c>
      <c r="R105">
        <f t="shared" si="15"/>
        <v>-47.68915278971313</v>
      </c>
      <c r="S105">
        <f>IF($P$2=1,0,K105/PLOT!$K$10)</f>
        <v>8.49141082321278E-09</v>
      </c>
      <c r="T105">
        <f>IF($P$2=1,$M$2,$M$2+L105/PLOT!$K$10)</f>
        <v>24.000000000365286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5"/>
  <sheetViews>
    <sheetView showRowColHeaders="0" zoomScalePageLayoutView="0" workbookViewId="0" topLeftCell="A1">
      <selection activeCell="B5" sqref="B5"/>
    </sheetView>
  </sheetViews>
  <sheetFormatPr defaultColWidth="9.140625" defaultRowHeight="12.75"/>
  <cols>
    <col min="1" max="16384" width="9.140625" style="2" customWidth="1"/>
  </cols>
  <sheetData>
    <row r="1" spans="1:15" ht="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7.25">
      <c r="A2" s="75"/>
      <c r="B2" s="76" t="s">
        <v>123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75"/>
      <c r="B4" s="75" t="s">
        <v>124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5"/>
      <c r="B5" s="75" t="s">
        <v>118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5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15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5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15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5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15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15">
      <c r="A20" s="75"/>
      <c r="B20" s="75" t="s">
        <v>119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15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5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5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5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5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5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5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5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5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5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5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5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5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5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5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15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5">
      <c r="A40" s="75"/>
      <c r="B40" s="75" t="s">
        <v>120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Hoyoung Seo</dc:creator>
  <cp:keywords/>
  <dc:description/>
  <cp:lastModifiedBy>Monica</cp:lastModifiedBy>
  <dcterms:created xsi:type="dcterms:W3CDTF">2007-11-05T22:02:58Z</dcterms:created>
  <dcterms:modified xsi:type="dcterms:W3CDTF">2019-07-31T19:29:33Z</dcterms:modified>
  <cp:category/>
  <cp:version/>
  <cp:contentType/>
  <cp:contentStatus/>
</cp:coreProperties>
</file>